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E:\FORMULA RATES SPP\Annual Update AEP West Trans\True Ups\2024 Annual Update\Transco_OKTCo_SWTCo\Filed Documents\"/>
    </mc:Choice>
  </mc:AlternateContent>
  <xr:revisionPtr revIDLastSave="0" documentId="14_{649B2581-EC87-4726-8665-0C473CC33723}" xr6:coauthVersionLast="47" xr6:coauthVersionMax="47" xr10:uidLastSave="{00000000-0000-0000-0000-000000000000}"/>
  <bookViews>
    <workbookView xWindow="52680" yWindow="-120" windowWidth="24240" windowHeight="13020" activeTab="1" xr2:uid="{00000000-000D-0000-FFFF-FFFF00000000}"/>
  </bookViews>
  <sheets>
    <sheet name="Instructions" sheetId="33" r:id="rId1"/>
    <sheet name="2021 NOLC Refund Detail" sheetId="35" r:id="rId2"/>
    <sheet name="Summary" sheetId="29" r:id="rId3"/>
    <sheet name="Pivot" sheetId="31" r:id="rId4"/>
    <sheet name="Transactions" sheetId="18" r:id="rId5"/>
  </sheets>
  <definedNames>
    <definedName name="_xlnm._FilterDatabase" localSheetId="4" hidden="1">Transactions!$A$15:$R$211</definedName>
    <definedName name="AS1_1999" localSheetId="4">Transactions!$C$19:$J$26</definedName>
    <definedName name="AS1_1999">#REF!</definedName>
    <definedName name="Avg_Annual_FERC_Rate">#REF!</definedName>
    <definedName name="etec">#REF!</definedName>
    <definedName name="fake">#REF!</definedName>
    <definedName name="greenbelt">#REF!</definedName>
    <definedName name="janetec">#REF!</definedName>
    <definedName name="lighthouse">#REF!</definedName>
    <definedName name="ntec">#REF!</definedName>
    <definedName name="ompa">#REF!</definedName>
    <definedName name="_xlnm.Print_Area" localSheetId="0">Instructions!$A$1:$Q$19</definedName>
    <definedName name="_xlnm.Print_Area" localSheetId="2">Summary!$C$1:$I$39</definedName>
    <definedName name="_xlnm.Print_Area" localSheetId="4">Transactions!$A$1:$R$211</definedName>
    <definedName name="_xlnm.Print_Titles" localSheetId="3">Pivot!$3:$4</definedName>
    <definedName name="_xlnm.Print_Titles" localSheetId="4">Transactions!$B:$E,Transactions!$1:$19</definedName>
    <definedName name="ss1et">#REF!</definedName>
    <definedName name="ss1gb">#REF!</definedName>
    <definedName name="ss1lh">#REF!</definedName>
    <definedName name="ss1nt">#REF!</definedName>
    <definedName name="ss1op">#REF!</definedName>
    <definedName name="ss1tx">#REF!</definedName>
    <definedName name="ss1wf">#REF!</definedName>
    <definedName name="ss2et">#REF!</definedName>
    <definedName name="ss2etc">#REF!</definedName>
    <definedName name="ss2gb">#REF!</definedName>
    <definedName name="ss2gbt">#REF!</definedName>
    <definedName name="ss2lh">#REF!</definedName>
    <definedName name="ss2lhs">#REF!</definedName>
    <definedName name="ss2nt">#REF!</definedName>
    <definedName name="ss2ntc">#REF!</definedName>
    <definedName name="ss2op">#REF!</definedName>
    <definedName name="ss2opm">#REF!</definedName>
    <definedName name="ss2tx">#REF!</definedName>
    <definedName name="ss2txl">#REF!</definedName>
    <definedName name="ss2wf">#REF!</definedName>
    <definedName name="ss3et">#REF!</definedName>
    <definedName name="ss3gb">#REF!</definedName>
    <definedName name="ss3lh">#REF!</definedName>
    <definedName name="ss3nt">#REF!</definedName>
    <definedName name="ss3op">#REF!</definedName>
    <definedName name="ss3tx">#REF!</definedName>
    <definedName name="ss3wf">#REF!</definedName>
    <definedName name="ss5et">#REF!</definedName>
    <definedName name="ss5gb">#REF!</definedName>
    <definedName name="ss5lh">#REF!</definedName>
    <definedName name="ss5nt">#REF!</definedName>
    <definedName name="ss5op">#REF!</definedName>
    <definedName name="ss5tx">#REF!</definedName>
    <definedName name="ss5wf">#REF!</definedName>
    <definedName name="ss6et">#REF!</definedName>
    <definedName name="ss6gb">#REF!</definedName>
    <definedName name="ss6lh">#REF!</definedName>
    <definedName name="ss6nt">#REF!</definedName>
    <definedName name="ss6op">#REF!</definedName>
    <definedName name="ss6tx">#REF!</definedName>
    <definedName name="ss6wf">#REF!</definedName>
    <definedName name="tbl_QtrPrimRat">#REF!</definedName>
    <definedName name="texla">#REF!</definedName>
  </definedNames>
  <calcPr calcId="191029" iterate="1"/>
  <pivotCaches>
    <pivotCache cacheId="6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35" l="1"/>
  <c r="H21" i="29" s="1"/>
  <c r="C11" i="35"/>
  <c r="B13" i="35"/>
  <c r="B4" i="35"/>
  <c r="D7" i="35" l="1"/>
  <c r="H24" i="29" s="1"/>
  <c r="D10" i="35"/>
  <c r="H27" i="29" s="1"/>
  <c r="D12" i="35"/>
  <c r="H29" i="29" s="1"/>
  <c r="D20" i="35"/>
  <c r="H37" i="29" s="1"/>
  <c r="D14" i="35"/>
  <c r="H31" i="29" s="1"/>
  <c r="C5" i="35"/>
  <c r="C15" i="35"/>
  <c r="C7" i="35"/>
  <c r="E7" i="35" s="1"/>
  <c r="C16" i="35"/>
  <c r="C18" i="35"/>
  <c r="C10" i="35"/>
  <c r="C20" i="35"/>
  <c r="E20" i="35" s="1"/>
  <c r="C12" i="35"/>
  <c r="E12" i="35" s="1"/>
  <c r="E11" i="35"/>
  <c r="D15" i="35"/>
  <c r="H32" i="29" s="1"/>
  <c r="D5" i="35"/>
  <c r="H22" i="29" s="1"/>
  <c r="C8" i="35"/>
  <c r="C13" i="35"/>
  <c r="D18" i="35"/>
  <c r="H35" i="29" s="1"/>
  <c r="D8" i="35"/>
  <c r="H25" i="29" s="1"/>
  <c r="D13" i="35"/>
  <c r="H30" i="29" s="1"/>
  <c r="E2" i="35"/>
  <c r="C6" i="35"/>
  <c r="D11" i="35"/>
  <c r="H28" i="29" s="1"/>
  <c r="D16" i="35"/>
  <c r="H33" i="29" s="1"/>
  <c r="C19" i="35"/>
  <c r="D6" i="35"/>
  <c r="H23" i="29" s="1"/>
  <c r="C9" i="35"/>
  <c r="C14" i="35"/>
  <c r="E14" i="35" s="1"/>
  <c r="D19" i="35"/>
  <c r="H36" i="29" s="1"/>
  <c r="C4" i="35"/>
  <c r="D9" i="35"/>
  <c r="H26" i="29" s="1"/>
  <c r="C21" i="35" l="1"/>
  <c r="E15" i="35"/>
  <c r="E10" i="35"/>
  <c r="E6" i="35"/>
  <c r="D17" i="35"/>
  <c r="E13" i="35"/>
  <c r="E18" i="35"/>
  <c r="E8" i="35"/>
  <c r="E5" i="35"/>
  <c r="E9" i="35"/>
  <c r="E16" i="35"/>
  <c r="C17" i="35"/>
  <c r="C22" i="35" s="1"/>
  <c r="E4" i="35"/>
  <c r="E19" i="35"/>
  <c r="D21" i="35"/>
  <c r="D22" i="35" s="1"/>
  <c r="E21" i="35" l="1"/>
  <c r="E17" i="35"/>
  <c r="E22" i="35" s="1"/>
  <c r="C5" i="29" l="1"/>
  <c r="L3" i="18" l="1"/>
  <c r="H209" i="18"/>
  <c r="H23" i="18" l="1"/>
  <c r="H27" i="18"/>
  <c r="H31" i="18"/>
  <c r="H35" i="18"/>
  <c r="H39" i="18"/>
  <c r="H43" i="18"/>
  <c r="H47" i="18"/>
  <c r="H51" i="18"/>
  <c r="H55" i="18"/>
  <c r="H59" i="18"/>
  <c r="H63" i="18"/>
  <c r="H67" i="18"/>
  <c r="H71" i="18"/>
  <c r="H75" i="18"/>
  <c r="H79" i="18"/>
  <c r="H83" i="18"/>
  <c r="H87" i="18"/>
  <c r="H91" i="18"/>
  <c r="H95" i="18"/>
  <c r="H99" i="18"/>
  <c r="H103" i="18"/>
  <c r="H107" i="18"/>
  <c r="H111" i="18"/>
  <c r="H115" i="18"/>
  <c r="H119" i="18"/>
  <c r="H123" i="18"/>
  <c r="H127" i="18"/>
  <c r="H131" i="18"/>
  <c r="H135" i="18"/>
  <c r="H139" i="18"/>
  <c r="H143" i="18"/>
  <c r="H147" i="18"/>
  <c r="H151" i="18"/>
  <c r="H155" i="18"/>
  <c r="H159" i="18"/>
  <c r="H163" i="18"/>
  <c r="H167" i="18"/>
  <c r="H171" i="18"/>
  <c r="H175" i="18"/>
  <c r="H179" i="18"/>
  <c r="H183" i="18"/>
  <c r="H187" i="18"/>
  <c r="H191" i="18"/>
  <c r="H195" i="18"/>
  <c r="H199" i="18"/>
  <c r="H203" i="18"/>
  <c r="H207" i="18"/>
  <c r="H211" i="18"/>
  <c r="H30" i="18"/>
  <c r="H34" i="18"/>
  <c r="H38" i="18"/>
  <c r="H50" i="18"/>
  <c r="H58" i="18"/>
  <c r="H66" i="18"/>
  <c r="H78" i="18"/>
  <c r="H86" i="18"/>
  <c r="H94" i="18"/>
  <c r="H106" i="18"/>
  <c r="H114" i="18"/>
  <c r="H122" i="18"/>
  <c r="H134" i="18"/>
  <c r="H142" i="18"/>
  <c r="H150" i="18"/>
  <c r="H154" i="18"/>
  <c r="H166" i="18"/>
  <c r="H178" i="18"/>
  <c r="H186" i="18"/>
  <c r="H206" i="18"/>
  <c r="H20" i="18"/>
  <c r="H24" i="18"/>
  <c r="H28" i="18"/>
  <c r="H32" i="18"/>
  <c r="H36" i="18"/>
  <c r="H40" i="18"/>
  <c r="H44" i="18"/>
  <c r="H48" i="18"/>
  <c r="H52" i="18"/>
  <c r="H56" i="18"/>
  <c r="H60" i="18"/>
  <c r="H64" i="18"/>
  <c r="H68" i="18"/>
  <c r="H72" i="18"/>
  <c r="H76" i="18"/>
  <c r="H80" i="18"/>
  <c r="H84" i="18"/>
  <c r="H88" i="18"/>
  <c r="H92" i="18"/>
  <c r="H96" i="18"/>
  <c r="H100" i="18"/>
  <c r="H104" i="18"/>
  <c r="H108" i="18"/>
  <c r="H112" i="18"/>
  <c r="H116" i="18"/>
  <c r="H120" i="18"/>
  <c r="H124" i="18"/>
  <c r="H128" i="18"/>
  <c r="H132" i="18"/>
  <c r="H136" i="18"/>
  <c r="H140" i="18"/>
  <c r="H144" i="18"/>
  <c r="H148" i="18"/>
  <c r="H152" i="18"/>
  <c r="H156" i="18"/>
  <c r="H160" i="18"/>
  <c r="H164" i="18"/>
  <c r="H168" i="18"/>
  <c r="H172" i="18"/>
  <c r="H176" i="18"/>
  <c r="H180" i="18"/>
  <c r="H184" i="18"/>
  <c r="H188" i="18"/>
  <c r="H192" i="18"/>
  <c r="H196" i="18"/>
  <c r="H200" i="18"/>
  <c r="H204" i="18"/>
  <c r="H208" i="18"/>
  <c r="H22" i="18"/>
  <c r="H26" i="18"/>
  <c r="H42" i="18"/>
  <c r="H46" i="18"/>
  <c r="H54" i="18"/>
  <c r="H62" i="18"/>
  <c r="H70" i="18"/>
  <c r="H74" i="18"/>
  <c r="H82" i="18"/>
  <c r="H90" i="18"/>
  <c r="H98" i="18"/>
  <c r="H102" i="18"/>
  <c r="H110" i="18"/>
  <c r="H118" i="18"/>
  <c r="H126" i="18"/>
  <c r="H130" i="18"/>
  <c r="H138" i="18"/>
  <c r="H146" i="18"/>
  <c r="H158" i="18"/>
  <c r="H162" i="18"/>
  <c r="H170" i="18"/>
  <c r="H174" i="18"/>
  <c r="H182" i="18"/>
  <c r="H190" i="18"/>
  <c r="H194" i="18"/>
  <c r="H198" i="18"/>
  <c r="H202" i="18"/>
  <c r="H210" i="18"/>
  <c r="H21" i="18"/>
  <c r="H25" i="18"/>
  <c r="H29" i="18"/>
  <c r="H33" i="18"/>
  <c r="H37" i="18"/>
  <c r="H41" i="18"/>
  <c r="H45" i="18"/>
  <c r="H49" i="18"/>
  <c r="H53" i="18"/>
  <c r="H57" i="18"/>
  <c r="H61" i="18"/>
  <c r="H65" i="18"/>
  <c r="H69" i="18"/>
  <c r="H73" i="18"/>
  <c r="H77" i="18"/>
  <c r="H81" i="18"/>
  <c r="H85" i="18"/>
  <c r="H89" i="18"/>
  <c r="H93" i="18"/>
  <c r="H97" i="18"/>
  <c r="H101" i="18"/>
  <c r="H105" i="18"/>
  <c r="H109" i="18"/>
  <c r="H113" i="18"/>
  <c r="H117" i="18"/>
  <c r="H121" i="18"/>
  <c r="H125" i="18"/>
  <c r="H129" i="18"/>
  <c r="H133" i="18"/>
  <c r="H137" i="18"/>
  <c r="H141" i="18"/>
  <c r="H145" i="18"/>
  <c r="H149" i="18"/>
  <c r="H153" i="18"/>
  <c r="H157" i="18"/>
  <c r="H161" i="18"/>
  <c r="H165" i="18"/>
  <c r="H169" i="18"/>
  <c r="H173" i="18"/>
  <c r="H177" i="18"/>
  <c r="H181" i="18"/>
  <c r="H185" i="18"/>
  <c r="H189" i="18"/>
  <c r="H193" i="18"/>
  <c r="H197" i="18"/>
  <c r="H201" i="18"/>
  <c r="H205" i="18"/>
  <c r="K1" i="18" l="1"/>
  <c r="O13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C1" i="29"/>
  <c r="B3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C42" i="18"/>
  <c r="C54" i="18" s="1"/>
  <c r="D38" i="18"/>
  <c r="D50" i="18" s="1"/>
  <c r="J19" i="18"/>
  <c r="D43" i="18"/>
  <c r="D67" i="18" s="1"/>
  <c r="D91" i="18" s="1"/>
  <c r="D103" i="18" s="1"/>
  <c r="D115" i="18" s="1"/>
  <c r="D127" i="18" s="1"/>
  <c r="D139" i="18" s="1"/>
  <c r="D151" i="18" s="1"/>
  <c r="D163" i="18" s="1"/>
  <c r="B31" i="18"/>
  <c r="D42" i="18"/>
  <c r="B30" i="18"/>
  <c r="D41" i="18"/>
  <c r="D65" i="18" s="1"/>
  <c r="B29" i="18"/>
  <c r="B28" i="18"/>
  <c r="C39" i="18"/>
  <c r="C51" i="18" s="1"/>
  <c r="D39" i="18"/>
  <c r="B27" i="18"/>
  <c r="B26" i="18"/>
  <c r="B25" i="18"/>
  <c r="B24" i="18"/>
  <c r="B23" i="18"/>
  <c r="B22" i="18"/>
  <c r="B21" i="18"/>
  <c r="D32" i="18"/>
  <c r="D44" i="18" s="1"/>
  <c r="B16" i="18"/>
  <c r="J1" i="18"/>
  <c r="C43" i="18"/>
  <c r="C67" i="18" s="1"/>
  <c r="C79" i="18" s="1"/>
  <c r="B175" i="18"/>
  <c r="B174" i="18"/>
  <c r="B173" i="18"/>
  <c r="B172" i="18"/>
  <c r="B171" i="18"/>
  <c r="C38" i="18"/>
  <c r="B170" i="18"/>
  <c r="C37" i="18"/>
  <c r="C49" i="18" s="1"/>
  <c r="B169" i="18"/>
  <c r="B168" i="18"/>
  <c r="B167" i="18"/>
  <c r="B166" i="18"/>
  <c r="C33" i="18"/>
  <c r="C45" i="18" s="1"/>
  <c r="B165" i="18"/>
  <c r="C32" i="18"/>
  <c r="C56" i="18" s="1"/>
  <c r="C68" i="18" s="1"/>
  <c r="B164" i="18"/>
  <c r="B211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20" i="18"/>
  <c r="C35" i="18"/>
  <c r="C34" i="18"/>
  <c r="C46" i="18" s="1"/>
  <c r="C41" i="18"/>
  <c r="C65" i="18" s="1"/>
  <c r="D36" i="18"/>
  <c r="D48" i="18" s="1"/>
  <c r="C36" i="18"/>
  <c r="C60" i="18" s="1"/>
  <c r="C48" i="18"/>
  <c r="C40" i="18"/>
  <c r="C52" i="18" s="1"/>
  <c r="D35" i="18"/>
  <c r="D47" i="18" s="1"/>
  <c r="D37" i="18"/>
  <c r="D61" i="18" s="1"/>
  <c r="D40" i="18"/>
  <c r="D64" i="18" s="1"/>
  <c r="D76" i="18" s="1"/>
  <c r="D33" i="18"/>
  <c r="D45" i="18" s="1"/>
  <c r="D34" i="18"/>
  <c r="D58" i="18" s="1"/>
  <c r="E25" i="29"/>
  <c r="G37" i="29"/>
  <c r="E35" i="29"/>
  <c r="E31" i="29"/>
  <c r="G28" i="29"/>
  <c r="G25" i="29"/>
  <c r="G23" i="29"/>
  <c r="G22" i="29"/>
  <c r="G31" i="29"/>
  <c r="E21" i="29"/>
  <c r="D30" i="29"/>
  <c r="E28" i="29"/>
  <c r="E23" i="29"/>
  <c r="G30" i="29"/>
  <c r="G29" i="29"/>
  <c r="E30" i="29"/>
  <c r="G35" i="29"/>
  <c r="E24" i="29"/>
  <c r="E22" i="29"/>
  <c r="E26" i="29"/>
  <c r="G36" i="29"/>
  <c r="D37" i="29"/>
  <c r="E27" i="29"/>
  <c r="G26" i="29"/>
  <c r="G24" i="29"/>
  <c r="D29" i="29"/>
  <c r="E29" i="29"/>
  <c r="E37" i="29"/>
  <c r="G21" i="29"/>
  <c r="G32" i="29"/>
  <c r="E36" i="29"/>
  <c r="E32" i="29"/>
  <c r="G33" i="29"/>
  <c r="E33" i="29"/>
  <c r="G27" i="29"/>
  <c r="C55" i="18" l="1"/>
  <c r="C57" i="18"/>
  <c r="C81" i="18" s="1"/>
  <c r="C93" i="18" s="1"/>
  <c r="C105" i="18" s="1"/>
  <c r="C117" i="18" s="1"/>
  <c r="C129" i="18" s="1"/>
  <c r="C141" i="18" s="1"/>
  <c r="C153" i="18" s="1"/>
  <c r="C177" i="18" s="1"/>
  <c r="C189" i="18" s="1"/>
  <c r="C201" i="18" s="1"/>
  <c r="C58" i="18"/>
  <c r="C63" i="18"/>
  <c r="D52" i="18"/>
  <c r="C44" i="18"/>
  <c r="D56" i="18"/>
  <c r="D68" i="18" s="1"/>
  <c r="D53" i="18"/>
  <c r="D49" i="18"/>
  <c r="D59" i="18"/>
  <c r="C66" i="18"/>
  <c r="C78" i="18" s="1"/>
  <c r="C64" i="18"/>
  <c r="C88" i="18" s="1"/>
  <c r="C100" i="18" s="1"/>
  <c r="C112" i="18" s="1"/>
  <c r="C124" i="18" s="1"/>
  <c r="C136" i="18" s="1"/>
  <c r="C148" i="18" s="1"/>
  <c r="C160" i="18" s="1"/>
  <c r="C172" i="18" s="1"/>
  <c r="D60" i="18"/>
  <c r="D62" i="18"/>
  <c r="D86" i="18" s="1"/>
  <c r="D98" i="18" s="1"/>
  <c r="D110" i="18" s="1"/>
  <c r="D122" i="18" s="1"/>
  <c r="D134" i="18" s="1"/>
  <c r="D146" i="18" s="1"/>
  <c r="D158" i="18" s="1"/>
  <c r="D182" i="18" s="1"/>
  <c r="D194" i="18" s="1"/>
  <c r="D206" i="18" s="1"/>
  <c r="C61" i="18"/>
  <c r="C73" i="18" s="1"/>
  <c r="D57" i="18"/>
  <c r="D46" i="18"/>
  <c r="D85" i="18"/>
  <c r="D97" i="18" s="1"/>
  <c r="D109" i="18" s="1"/>
  <c r="D121" i="18" s="1"/>
  <c r="D133" i="18" s="1"/>
  <c r="D145" i="18" s="1"/>
  <c r="D157" i="18" s="1"/>
  <c r="D181" i="18" s="1"/>
  <c r="D193" i="18" s="1"/>
  <c r="D205" i="18" s="1"/>
  <c r="D73" i="18"/>
  <c r="D70" i="18"/>
  <c r="D82" i="18"/>
  <c r="D94" i="18" s="1"/>
  <c r="D106" i="18" s="1"/>
  <c r="D118" i="18" s="1"/>
  <c r="D130" i="18" s="1"/>
  <c r="D142" i="18" s="1"/>
  <c r="D154" i="18" s="1"/>
  <c r="D166" i="18" s="1"/>
  <c r="C72" i="18"/>
  <c r="C84" i="18"/>
  <c r="C96" i="18" s="1"/>
  <c r="C108" i="18" s="1"/>
  <c r="C120" i="18" s="1"/>
  <c r="C132" i="18" s="1"/>
  <c r="C144" i="18" s="1"/>
  <c r="C156" i="18" s="1"/>
  <c r="C168" i="18" s="1"/>
  <c r="D175" i="18"/>
  <c r="D187" i="18"/>
  <c r="D199" i="18" s="1"/>
  <c r="D211" i="18" s="1"/>
  <c r="C80" i="18"/>
  <c r="C92" i="18" s="1"/>
  <c r="C104" i="18" s="1"/>
  <c r="C116" i="18" s="1"/>
  <c r="C128" i="18" s="1"/>
  <c r="C140" i="18" s="1"/>
  <c r="C152" i="18" s="1"/>
  <c r="C176" i="18" s="1"/>
  <c r="C188" i="18" s="1"/>
  <c r="C200" i="18" s="1"/>
  <c r="D88" i="18"/>
  <c r="D100" i="18" s="1"/>
  <c r="D112" i="18" s="1"/>
  <c r="D124" i="18" s="1"/>
  <c r="D136" i="18" s="1"/>
  <c r="D148" i="18" s="1"/>
  <c r="D160" i="18" s="1"/>
  <c r="D172" i="18" s="1"/>
  <c r="D55" i="18"/>
  <c r="D79" i="18"/>
  <c r="C53" i="18"/>
  <c r="H38" i="29"/>
  <c r="F30" i="29"/>
  <c r="I30" i="29" s="1"/>
  <c r="H34" i="29"/>
  <c r="G34" i="29"/>
  <c r="G38" i="29"/>
  <c r="F29" i="29"/>
  <c r="I29" i="29" s="1"/>
  <c r="E34" i="29"/>
  <c r="F37" i="29"/>
  <c r="I37" i="29" s="1"/>
  <c r="E38" i="29"/>
  <c r="D169" i="18"/>
  <c r="C47" i="18"/>
  <c r="C59" i="18"/>
  <c r="C62" i="18"/>
  <c r="C50" i="18"/>
  <c r="E10" i="29"/>
  <c r="D20" i="29"/>
  <c r="E20" i="29"/>
  <c r="C3" i="29"/>
  <c r="F10" i="29"/>
  <c r="C89" i="18"/>
  <c r="C101" i="18" s="1"/>
  <c r="C113" i="18" s="1"/>
  <c r="C125" i="18" s="1"/>
  <c r="C137" i="18" s="1"/>
  <c r="C149" i="18" s="1"/>
  <c r="C161" i="18" s="1"/>
  <c r="C77" i="18"/>
  <c r="D54" i="18"/>
  <c r="D66" i="18"/>
  <c r="D51" i="18"/>
  <c r="D63" i="18"/>
  <c r="D77" i="18"/>
  <c r="D89" i="18"/>
  <c r="D101" i="18" s="1"/>
  <c r="D113" i="18" s="1"/>
  <c r="D125" i="18" s="1"/>
  <c r="D137" i="18" s="1"/>
  <c r="D149" i="18" s="1"/>
  <c r="D161" i="18" s="1"/>
  <c r="O14" i="18"/>
  <c r="C91" i="18"/>
  <c r="C103" i="18" s="1"/>
  <c r="C115" i="18" s="1"/>
  <c r="C127" i="18" s="1"/>
  <c r="C139" i="18" s="1"/>
  <c r="C151" i="18" s="1"/>
  <c r="C163" i="18" s="1"/>
  <c r="D36" i="29"/>
  <c r="D27" i="29"/>
  <c r="D21" i="29"/>
  <c r="D28" i="29"/>
  <c r="D33" i="29"/>
  <c r="D35" i="29"/>
  <c r="D31" i="29"/>
  <c r="D26" i="29"/>
  <c r="D22" i="29"/>
  <c r="D23" i="29"/>
  <c r="D32" i="29"/>
  <c r="D25" i="29"/>
  <c r="D24" i="29"/>
  <c r="C90" i="18" l="1"/>
  <c r="C102" i="18" s="1"/>
  <c r="C114" i="18" s="1"/>
  <c r="C126" i="18" s="1"/>
  <c r="C138" i="18" s="1"/>
  <c r="C150" i="18" s="1"/>
  <c r="C162" i="18" s="1"/>
  <c r="C165" i="18"/>
  <c r="C69" i="18"/>
  <c r="D170" i="18"/>
  <c r="C85" i="18"/>
  <c r="C97" i="18" s="1"/>
  <c r="C109" i="18" s="1"/>
  <c r="C121" i="18" s="1"/>
  <c r="C133" i="18" s="1"/>
  <c r="C145" i="18" s="1"/>
  <c r="C157" i="18" s="1"/>
  <c r="D80" i="18"/>
  <c r="D92" i="18" s="1"/>
  <c r="D104" i="18" s="1"/>
  <c r="D116" i="18" s="1"/>
  <c r="D128" i="18" s="1"/>
  <c r="D140" i="18" s="1"/>
  <c r="D152" i="18" s="1"/>
  <c r="D164" i="18" s="1"/>
  <c r="F32" i="29"/>
  <c r="I32" i="29" s="1"/>
  <c r="F35" i="29"/>
  <c r="I35" i="29" s="1"/>
  <c r="D38" i="29"/>
  <c r="F27" i="29"/>
  <c r="I27" i="29" s="1"/>
  <c r="F26" i="29"/>
  <c r="I26" i="29" s="1"/>
  <c r="F22" i="29"/>
  <c r="I22" i="29" s="1"/>
  <c r="F33" i="29"/>
  <c r="I33" i="29" s="1"/>
  <c r="F24" i="29"/>
  <c r="I24" i="29" s="1"/>
  <c r="F21" i="29"/>
  <c r="I21" i="29" s="1"/>
  <c r="D34" i="29"/>
  <c r="F36" i="29"/>
  <c r="I36" i="29" s="1"/>
  <c r="F25" i="29"/>
  <c r="I25" i="29" s="1"/>
  <c r="F28" i="29"/>
  <c r="I28" i="29" s="1"/>
  <c r="F23" i="29"/>
  <c r="I23" i="29" s="1"/>
  <c r="F31" i="29"/>
  <c r="I31" i="29" s="1"/>
  <c r="C70" i="18"/>
  <c r="C82" i="18"/>
  <c r="C94" i="18" s="1"/>
  <c r="C106" i="18" s="1"/>
  <c r="C118" i="18" s="1"/>
  <c r="C130" i="18" s="1"/>
  <c r="C142" i="18" s="1"/>
  <c r="C154" i="18" s="1"/>
  <c r="C75" i="18"/>
  <c r="C87" i="18"/>
  <c r="C99" i="18" s="1"/>
  <c r="C111" i="18" s="1"/>
  <c r="C123" i="18" s="1"/>
  <c r="C135" i="18" s="1"/>
  <c r="C147" i="18" s="1"/>
  <c r="C159" i="18" s="1"/>
  <c r="C184" i="18"/>
  <c r="C196" i="18" s="1"/>
  <c r="C208" i="18" s="1"/>
  <c r="C180" i="18"/>
  <c r="C192" i="18" s="1"/>
  <c r="C204" i="18" s="1"/>
  <c r="D184" i="18"/>
  <c r="D196" i="18" s="1"/>
  <c r="D208" i="18" s="1"/>
  <c r="C76" i="18"/>
  <c r="D71" i="18"/>
  <c r="D83" i="18"/>
  <c r="D95" i="18" s="1"/>
  <c r="D107" i="18" s="1"/>
  <c r="D119" i="18" s="1"/>
  <c r="D131" i="18" s="1"/>
  <c r="D143" i="18" s="1"/>
  <c r="D155" i="18" s="1"/>
  <c r="D176" i="18"/>
  <c r="D188" i="18" s="1"/>
  <c r="D200" i="18" s="1"/>
  <c r="D74" i="18"/>
  <c r="D69" i="18"/>
  <c r="D81" i="18"/>
  <c r="D93" i="18" s="1"/>
  <c r="D105" i="18" s="1"/>
  <c r="D117" i="18" s="1"/>
  <c r="D129" i="18" s="1"/>
  <c r="D141" i="18" s="1"/>
  <c r="D153" i="18" s="1"/>
  <c r="D72" i="18"/>
  <c r="D84" i="18"/>
  <c r="D96" i="18" s="1"/>
  <c r="D108" i="18" s="1"/>
  <c r="D120" i="18" s="1"/>
  <c r="D132" i="18" s="1"/>
  <c r="D144" i="18" s="1"/>
  <c r="D156" i="18" s="1"/>
  <c r="E39" i="29"/>
  <c r="G39" i="29"/>
  <c r="D178" i="18"/>
  <c r="D190" i="18" s="1"/>
  <c r="D202" i="18" s="1"/>
  <c r="C164" i="18"/>
  <c r="C181" i="18"/>
  <c r="C193" i="18" s="1"/>
  <c r="C205" i="18" s="1"/>
  <c r="C169" i="18"/>
  <c r="D87" i="18"/>
  <c r="D99" i="18" s="1"/>
  <c r="D111" i="18" s="1"/>
  <c r="D123" i="18" s="1"/>
  <c r="D135" i="18" s="1"/>
  <c r="D147" i="18" s="1"/>
  <c r="D159" i="18" s="1"/>
  <c r="D75" i="18"/>
  <c r="D173" i="18"/>
  <c r="D185" i="18"/>
  <c r="D197" i="18" s="1"/>
  <c r="D209" i="18" s="1"/>
  <c r="D78" i="18"/>
  <c r="D90" i="18"/>
  <c r="D102" i="18" s="1"/>
  <c r="D114" i="18" s="1"/>
  <c r="D126" i="18" s="1"/>
  <c r="D138" i="18" s="1"/>
  <c r="D150" i="18" s="1"/>
  <c r="D162" i="18" s="1"/>
  <c r="C86" i="18"/>
  <c r="C98" i="18" s="1"/>
  <c r="C110" i="18" s="1"/>
  <c r="C122" i="18" s="1"/>
  <c r="C134" i="18" s="1"/>
  <c r="C146" i="18" s="1"/>
  <c r="C158" i="18" s="1"/>
  <c r="C74" i="18"/>
  <c r="P14" i="18"/>
  <c r="P212" i="18"/>
  <c r="P13" i="18"/>
  <c r="C173" i="18"/>
  <c r="C185" i="18"/>
  <c r="C197" i="18" s="1"/>
  <c r="C209" i="18" s="1"/>
  <c r="C175" i="18"/>
  <c r="C187" i="18"/>
  <c r="C199" i="18" s="1"/>
  <c r="C211" i="18" s="1"/>
  <c r="C186" i="18"/>
  <c r="C198" i="18" s="1"/>
  <c r="C210" i="18" s="1"/>
  <c r="C174" i="18"/>
  <c r="C71" i="18"/>
  <c r="C83" i="18"/>
  <c r="C95" i="18" s="1"/>
  <c r="C107" i="18" s="1"/>
  <c r="C119" i="18" s="1"/>
  <c r="C131" i="18" s="1"/>
  <c r="C143" i="18" s="1"/>
  <c r="C155" i="18" s="1"/>
  <c r="H39" i="29"/>
  <c r="D39" i="29" l="1"/>
  <c r="F38" i="29"/>
  <c r="C183" i="18"/>
  <c r="C195" i="18" s="1"/>
  <c r="C207" i="18" s="1"/>
  <c r="C171" i="18"/>
  <c r="F34" i="29"/>
  <c r="C166" i="18"/>
  <c r="C178" i="18"/>
  <c r="C190" i="18" s="1"/>
  <c r="C202" i="18" s="1"/>
  <c r="D167" i="18"/>
  <c r="D179" i="18"/>
  <c r="D191" i="18" s="1"/>
  <c r="D203" i="18" s="1"/>
  <c r="I38" i="29"/>
  <c r="I34" i="29"/>
  <c r="D165" i="18"/>
  <c r="D177" i="18"/>
  <c r="D189" i="18" s="1"/>
  <c r="D201" i="18" s="1"/>
  <c r="D180" i="18"/>
  <c r="D192" i="18" s="1"/>
  <c r="D204" i="18" s="1"/>
  <c r="D168" i="18"/>
  <c r="Q14" i="18"/>
  <c r="Q13" i="18"/>
  <c r="C179" i="18"/>
  <c r="C191" i="18" s="1"/>
  <c r="C203" i="18" s="1"/>
  <c r="C167" i="18"/>
  <c r="C170" i="18"/>
  <c r="C182" i="18"/>
  <c r="C194" i="18" s="1"/>
  <c r="C206" i="18" s="1"/>
  <c r="D171" i="18"/>
  <c r="D183" i="18"/>
  <c r="D195" i="18" s="1"/>
  <c r="D207" i="18" s="1"/>
  <c r="D186" i="18"/>
  <c r="D198" i="18" s="1"/>
  <c r="D210" i="18" s="1"/>
  <c r="D174" i="18"/>
  <c r="F39" i="29" l="1"/>
  <c r="I39" i="29"/>
  <c r="E11" i="29"/>
  <c r="E13" i="29" l="1"/>
  <c r="F12" i="29" l="1"/>
  <c r="I117" i="18" l="1"/>
  <c r="I49" i="18"/>
  <c r="I205" i="18"/>
  <c r="I46" i="18"/>
  <c r="I108" i="18"/>
  <c r="I201" i="18"/>
  <c r="I26" i="18"/>
  <c r="I179" i="18"/>
  <c r="I177" i="18"/>
  <c r="I89" i="18"/>
  <c r="I168" i="18"/>
  <c r="I45" i="18"/>
  <c r="I158" i="18"/>
  <c r="I136" i="18"/>
  <c r="I186" i="18"/>
  <c r="I138" i="18"/>
  <c r="I120" i="18"/>
  <c r="I190" i="18"/>
  <c r="I194" i="18"/>
  <c r="I133" i="18"/>
  <c r="I110" i="18"/>
  <c r="I173" i="18"/>
  <c r="I116" i="18"/>
  <c r="I128" i="18"/>
  <c r="I32" i="18"/>
  <c r="I192" i="18"/>
  <c r="I84" i="18"/>
  <c r="I121" i="18"/>
  <c r="I62" i="18"/>
  <c r="I75" i="18"/>
  <c r="I147" i="18"/>
  <c r="I176" i="18"/>
  <c r="I34" i="18"/>
  <c r="I210" i="18"/>
  <c r="I27" i="18"/>
  <c r="I129" i="18"/>
  <c r="I59" i="18"/>
  <c r="I154" i="18"/>
  <c r="I61" i="18"/>
  <c r="I206" i="18"/>
  <c r="I188" i="18"/>
  <c r="I198" i="18"/>
  <c r="I100" i="18"/>
  <c r="I141" i="18"/>
  <c r="I157" i="18"/>
  <c r="I24" i="18"/>
  <c r="I51" i="18"/>
  <c r="I65" i="18"/>
  <c r="I118" i="18"/>
  <c r="I29" i="18"/>
  <c r="I82" i="18"/>
  <c r="I25" i="18"/>
  <c r="I91" i="18"/>
  <c r="I123" i="18"/>
  <c r="I40" i="18"/>
  <c r="I96" i="18"/>
  <c r="I57" i="18"/>
  <c r="I146" i="18"/>
  <c r="I185" i="18"/>
  <c r="I153" i="18"/>
  <c r="I66" i="18"/>
  <c r="I77" i="18"/>
  <c r="I115" i="18"/>
  <c r="I181" i="18"/>
  <c r="I55" i="18"/>
  <c r="I161" i="18"/>
  <c r="I193" i="18"/>
  <c r="I197" i="18"/>
  <c r="I102" i="18"/>
  <c r="I38" i="18"/>
  <c r="I81" i="18"/>
  <c r="I159" i="18"/>
  <c r="I53" i="18"/>
  <c r="I169" i="18"/>
  <c r="I199" i="18"/>
  <c r="I140" i="18"/>
  <c r="I64" i="18"/>
  <c r="I58" i="18"/>
  <c r="I207" i="18"/>
  <c r="I111" i="18"/>
  <c r="I39" i="18"/>
  <c r="I142" i="18"/>
  <c r="I28" i="18"/>
  <c r="I90" i="18"/>
  <c r="I98" i="18"/>
  <c r="I152" i="18"/>
  <c r="I162" i="18"/>
  <c r="I99" i="18"/>
  <c r="I70" i="18"/>
  <c r="I175" i="18"/>
  <c r="I86" i="18"/>
  <c r="I182" i="18"/>
  <c r="I202" i="18"/>
  <c r="I74" i="18"/>
  <c r="I60" i="18"/>
  <c r="I69" i="18"/>
  <c r="I105" i="18"/>
  <c r="I20" i="18"/>
  <c r="I195" i="18"/>
  <c r="I104" i="18"/>
  <c r="I163" i="18"/>
  <c r="I35" i="18"/>
  <c r="I114" i="18"/>
  <c r="I137" i="18"/>
  <c r="I106" i="18"/>
  <c r="I119" i="18"/>
  <c r="I41" i="18"/>
  <c r="I150" i="18"/>
  <c r="I109" i="18"/>
  <c r="I80" i="18"/>
  <c r="I171" i="18"/>
  <c r="I203" i="18"/>
  <c r="I68" i="18"/>
  <c r="I56" i="18"/>
  <c r="I36" i="18"/>
  <c r="I76" i="18"/>
  <c r="I155" i="18"/>
  <c r="I95" i="18"/>
  <c r="I184" i="18"/>
  <c r="I139" i="18"/>
  <c r="I48" i="18"/>
  <c r="I156" i="18"/>
  <c r="F14" i="29"/>
  <c r="I63" i="18"/>
  <c r="I196" i="18"/>
  <c r="I44" i="18"/>
  <c r="I21" i="18"/>
  <c r="I145" i="18"/>
  <c r="I22" i="18"/>
  <c r="I94" i="18"/>
  <c r="I79" i="18"/>
  <c r="I187" i="18"/>
  <c r="I183" i="18"/>
  <c r="I47" i="18"/>
  <c r="I54" i="18"/>
  <c r="I103" i="18"/>
  <c r="I172" i="18"/>
  <c r="I73" i="18"/>
  <c r="I130" i="18"/>
  <c r="I208" i="18"/>
  <c r="I92" i="18"/>
  <c r="I134" i="18"/>
  <c r="I211" i="18"/>
  <c r="I33" i="18"/>
  <c r="I178" i="18"/>
  <c r="I112" i="18"/>
  <c r="I132" i="18"/>
  <c r="I191" i="18"/>
  <c r="I209" i="18"/>
  <c r="I52" i="18"/>
  <c r="I148" i="18"/>
  <c r="I101" i="18"/>
  <c r="I42" i="18"/>
  <c r="I131" i="18"/>
  <c r="I93" i="18"/>
  <c r="I167" i="18"/>
  <c r="I127" i="18"/>
  <c r="I124" i="18"/>
  <c r="I122" i="18"/>
  <c r="I37" i="18"/>
  <c r="I43" i="18"/>
  <c r="I67" i="18"/>
  <c r="I165" i="18"/>
  <c r="I113" i="18"/>
  <c r="I78" i="18"/>
  <c r="I189" i="18"/>
  <c r="I151" i="18"/>
  <c r="I85" i="18"/>
  <c r="I149" i="18"/>
  <c r="I83" i="18"/>
  <c r="I71" i="18"/>
  <c r="I87" i="18"/>
  <c r="I107" i="18"/>
  <c r="I72" i="18"/>
  <c r="I50" i="18"/>
  <c r="I204" i="18"/>
  <c r="I30" i="18"/>
  <c r="I97" i="18"/>
  <c r="I23" i="18"/>
  <c r="I144" i="18"/>
  <c r="I200" i="18"/>
  <c r="I170" i="18"/>
  <c r="I143" i="18"/>
  <c r="I126" i="18"/>
  <c r="I125" i="18"/>
  <c r="I174" i="18"/>
  <c r="I135" i="18"/>
  <c r="I160" i="18"/>
  <c r="I166" i="18"/>
  <c r="I88" i="18"/>
  <c r="I180" i="18"/>
  <c r="I164" i="18"/>
  <c r="I31" i="18"/>
  <c r="K147" i="18" l="1"/>
  <c r="J147" i="18"/>
  <c r="M147" i="18"/>
  <c r="K51" i="18"/>
  <c r="J51" i="18"/>
  <c r="K140" i="18"/>
  <c r="J140" i="18"/>
  <c r="K146" i="18"/>
  <c r="J146" i="18"/>
  <c r="L146" i="18" s="1"/>
  <c r="M146" i="18"/>
  <c r="N146" i="18" s="1"/>
  <c r="R146" i="18" s="1"/>
  <c r="K50" i="18"/>
  <c r="J50" i="18"/>
  <c r="L50" i="18" s="1"/>
  <c r="K193" i="18"/>
  <c r="J193" i="18"/>
  <c r="L193" i="18" s="1"/>
  <c r="K33" i="18"/>
  <c r="J33" i="18"/>
  <c r="L33" i="18" s="1"/>
  <c r="K76" i="18"/>
  <c r="J76" i="18"/>
  <c r="K128" i="18"/>
  <c r="J128" i="18"/>
  <c r="M128" i="18"/>
  <c r="K32" i="18"/>
  <c r="J32" i="18"/>
  <c r="K199" i="18"/>
  <c r="J199" i="18"/>
  <c r="K71" i="18"/>
  <c r="J71" i="18"/>
  <c r="L71" i="18" s="1"/>
  <c r="M71" i="18"/>
  <c r="K180" i="18"/>
  <c r="J180" i="18"/>
  <c r="L180" i="18" s="1"/>
  <c r="K203" i="18"/>
  <c r="J203" i="18"/>
  <c r="K171" i="18"/>
  <c r="J171" i="18"/>
  <c r="K139" i="18"/>
  <c r="J139" i="18"/>
  <c r="L139" i="18" s="1"/>
  <c r="M139" i="18"/>
  <c r="K107" i="18"/>
  <c r="J107" i="18"/>
  <c r="L107" i="18" s="1"/>
  <c r="K75" i="18"/>
  <c r="J75" i="18"/>
  <c r="L75" i="18" s="1"/>
  <c r="K43" i="18"/>
  <c r="J43" i="18"/>
  <c r="K93" i="18"/>
  <c r="J93" i="18"/>
  <c r="K100" i="18"/>
  <c r="J100" i="18"/>
  <c r="M100" i="18"/>
  <c r="K202" i="18"/>
  <c r="J202" i="18"/>
  <c r="K170" i="18"/>
  <c r="J170" i="18"/>
  <c r="K138" i="18"/>
  <c r="J138" i="18"/>
  <c r="L138" i="18" s="1"/>
  <c r="M138" i="18"/>
  <c r="N138" i="18" s="1"/>
  <c r="R138" i="18" s="1"/>
  <c r="K106" i="18"/>
  <c r="J106" i="18"/>
  <c r="L106" i="18" s="1"/>
  <c r="K74" i="18"/>
  <c r="J74" i="18"/>
  <c r="L74" i="18" s="1"/>
  <c r="K42" i="18"/>
  <c r="J42" i="18"/>
  <c r="L42" i="18" s="1"/>
  <c r="K61" i="18"/>
  <c r="J61" i="18"/>
  <c r="L61" i="18" s="1"/>
  <c r="K52" i="18"/>
  <c r="J52" i="18"/>
  <c r="M52" i="18"/>
  <c r="K185" i="18"/>
  <c r="J185" i="18"/>
  <c r="K153" i="18"/>
  <c r="J153" i="18"/>
  <c r="K121" i="18"/>
  <c r="J121" i="18"/>
  <c r="L121" i="18" s="1"/>
  <c r="M121" i="18"/>
  <c r="N121" i="18" s="1"/>
  <c r="R121" i="18" s="1"/>
  <c r="K89" i="18"/>
  <c r="J89" i="18"/>
  <c r="L89" i="18" s="1"/>
  <c r="K57" i="18"/>
  <c r="J57" i="18"/>
  <c r="L57" i="18" s="1"/>
  <c r="K25" i="18"/>
  <c r="J25" i="18"/>
  <c r="L25" i="18" s="1"/>
  <c r="K172" i="18"/>
  <c r="J172" i="18"/>
  <c r="L172" i="18" s="1"/>
  <c r="K28" i="18"/>
  <c r="J28" i="18"/>
  <c r="M28" i="18"/>
  <c r="K184" i="18"/>
  <c r="J184" i="18"/>
  <c r="K152" i="18"/>
  <c r="J152" i="18"/>
  <c r="K120" i="18"/>
  <c r="J120" i="18"/>
  <c r="L120" i="18" s="1"/>
  <c r="M120" i="18"/>
  <c r="K88" i="18"/>
  <c r="J88" i="18"/>
  <c r="L88" i="18" s="1"/>
  <c r="K56" i="18"/>
  <c r="J56" i="18"/>
  <c r="K24" i="18"/>
  <c r="J24" i="18"/>
  <c r="L24" i="18" s="1"/>
  <c r="K133" i="18"/>
  <c r="J133" i="18"/>
  <c r="L133" i="18" s="1"/>
  <c r="K124" i="18"/>
  <c r="J124" i="18"/>
  <c r="M124" i="18"/>
  <c r="K191" i="18"/>
  <c r="J191" i="18"/>
  <c r="M191" i="18"/>
  <c r="K159" i="18"/>
  <c r="J159" i="18"/>
  <c r="K127" i="18"/>
  <c r="J127" i="18"/>
  <c r="L127" i="18" s="1"/>
  <c r="M127" i="18"/>
  <c r="N127" i="18" s="1"/>
  <c r="R127" i="18" s="1"/>
  <c r="K95" i="18"/>
  <c r="J95" i="18"/>
  <c r="L95" i="18" s="1"/>
  <c r="M95" i="18"/>
  <c r="K63" i="18"/>
  <c r="J63" i="18"/>
  <c r="L63" i="18" s="1"/>
  <c r="K31" i="18"/>
  <c r="J31" i="18"/>
  <c r="L31" i="18" s="1"/>
  <c r="K196" i="18"/>
  <c r="J196" i="18"/>
  <c r="K206" i="18"/>
  <c r="J206" i="18"/>
  <c r="M206" i="18"/>
  <c r="K174" i="18"/>
  <c r="J174" i="18"/>
  <c r="M174" i="18"/>
  <c r="K142" i="18"/>
  <c r="J142" i="18"/>
  <c r="K110" i="18"/>
  <c r="J110" i="18"/>
  <c r="L110" i="18" s="1"/>
  <c r="M110" i="18"/>
  <c r="N110" i="18" s="1"/>
  <c r="R110" i="18" s="1"/>
  <c r="K78" i="18"/>
  <c r="J78" i="18"/>
  <c r="L78" i="18" s="1"/>
  <c r="M78" i="18"/>
  <c r="K46" i="18"/>
  <c r="J46" i="18"/>
  <c r="L46" i="18" s="1"/>
  <c r="K181" i="18"/>
  <c r="J181" i="18"/>
  <c r="L181" i="18" s="1"/>
  <c r="K109" i="18"/>
  <c r="J109" i="18"/>
  <c r="L109" i="18" s="1"/>
  <c r="K132" i="18"/>
  <c r="J132" i="18"/>
  <c r="M132" i="18"/>
  <c r="K211" i="18"/>
  <c r="J211" i="18"/>
  <c r="L211" i="18" s="1"/>
  <c r="K83" i="18"/>
  <c r="J83" i="18"/>
  <c r="K210" i="18"/>
  <c r="J210" i="18"/>
  <c r="L210" i="18" s="1"/>
  <c r="K114" i="18"/>
  <c r="J114" i="18"/>
  <c r="M114" i="18"/>
  <c r="K125" i="18"/>
  <c r="J125" i="18"/>
  <c r="M125" i="18"/>
  <c r="K161" i="18"/>
  <c r="J161" i="18"/>
  <c r="K65" i="18"/>
  <c r="J65" i="18"/>
  <c r="L65" i="18" s="1"/>
  <c r="M65" i="18"/>
  <c r="N65" i="18" s="1"/>
  <c r="R65" i="18" s="1"/>
  <c r="K192" i="18"/>
  <c r="J192" i="18"/>
  <c r="L192" i="18" s="1"/>
  <c r="M192" i="18"/>
  <c r="N192" i="18" s="1"/>
  <c r="R192" i="18" s="1"/>
  <c r="K96" i="18"/>
  <c r="J96" i="18"/>
  <c r="L96" i="18" s="1"/>
  <c r="K149" i="18"/>
  <c r="J149" i="18"/>
  <c r="L149" i="18" s="1"/>
  <c r="K167" i="18"/>
  <c r="J167" i="18"/>
  <c r="L167" i="18" s="1"/>
  <c r="K103" i="18"/>
  <c r="J103" i="18"/>
  <c r="M103" i="18"/>
  <c r="K39" i="18"/>
  <c r="J39" i="18"/>
  <c r="M39" i="18"/>
  <c r="K36" i="18"/>
  <c r="J36" i="18"/>
  <c r="K182" i="18"/>
  <c r="J182" i="18"/>
  <c r="L182" i="18" s="1"/>
  <c r="M182" i="18"/>
  <c r="N182" i="18" s="1"/>
  <c r="R182" i="18" s="1"/>
  <c r="K150" i="18"/>
  <c r="J150" i="18"/>
  <c r="L150" i="18" s="1"/>
  <c r="M150" i="18"/>
  <c r="N150" i="18" s="1"/>
  <c r="R150" i="18" s="1"/>
  <c r="K118" i="18"/>
  <c r="J118" i="18"/>
  <c r="L118" i="18" s="1"/>
  <c r="K86" i="18"/>
  <c r="J86" i="18"/>
  <c r="K54" i="18"/>
  <c r="J54" i="18"/>
  <c r="L54" i="18" s="1"/>
  <c r="K22" i="18"/>
  <c r="J22" i="18"/>
  <c r="M22" i="18"/>
  <c r="K179" i="18"/>
  <c r="J179" i="18"/>
  <c r="L179" i="18" s="1"/>
  <c r="K115" i="18"/>
  <c r="J115" i="18"/>
  <c r="L115" i="18" s="1"/>
  <c r="K197" i="18"/>
  <c r="J197" i="18"/>
  <c r="L197" i="18" s="1"/>
  <c r="K178" i="18"/>
  <c r="J178" i="18"/>
  <c r="M178" i="18"/>
  <c r="K82" i="18"/>
  <c r="J82" i="18"/>
  <c r="M82" i="18"/>
  <c r="K108" i="18"/>
  <c r="J108" i="18"/>
  <c r="K129" i="18"/>
  <c r="J129" i="18"/>
  <c r="L129" i="18" s="1"/>
  <c r="M129" i="18"/>
  <c r="N129" i="18" s="1"/>
  <c r="R129" i="18" s="1"/>
  <c r="K97" i="18"/>
  <c r="J97" i="18"/>
  <c r="L97" i="18" s="1"/>
  <c r="M97" i="18"/>
  <c r="N97" i="18" s="1"/>
  <c r="R97" i="18" s="1"/>
  <c r="K21" i="18"/>
  <c r="J21" i="18"/>
  <c r="L21" i="18" s="1"/>
  <c r="K160" i="18"/>
  <c r="J160" i="18"/>
  <c r="K64" i="18"/>
  <c r="J64" i="18"/>
  <c r="L64" i="18" s="1"/>
  <c r="K37" i="18"/>
  <c r="J37" i="18"/>
  <c r="M37" i="18"/>
  <c r="K135" i="18"/>
  <c r="J135" i="18"/>
  <c r="M135" i="18"/>
  <c r="K53" i="18"/>
  <c r="J53" i="18"/>
  <c r="K141" i="18"/>
  <c r="J141" i="18"/>
  <c r="L141" i="18" s="1"/>
  <c r="M141" i="18"/>
  <c r="K195" i="18"/>
  <c r="J195" i="18"/>
  <c r="L195" i="18" s="1"/>
  <c r="M195" i="18"/>
  <c r="N195" i="18" s="1"/>
  <c r="R195" i="18" s="1"/>
  <c r="K163" i="18"/>
  <c r="J163" i="18"/>
  <c r="K131" i="18"/>
  <c r="J131" i="18"/>
  <c r="L131" i="18" s="1"/>
  <c r="K99" i="18"/>
  <c r="J99" i="18"/>
  <c r="K67" i="18"/>
  <c r="J67" i="18"/>
  <c r="M67" i="18"/>
  <c r="K35" i="18"/>
  <c r="J35" i="18"/>
  <c r="M35" i="18"/>
  <c r="K45" i="18"/>
  <c r="J45" i="18"/>
  <c r="K68" i="18"/>
  <c r="J68" i="18"/>
  <c r="L68" i="18" s="1"/>
  <c r="M68" i="18"/>
  <c r="K194" i="18"/>
  <c r="J194" i="18"/>
  <c r="L194" i="18" s="1"/>
  <c r="M194" i="18"/>
  <c r="N194" i="18" s="1"/>
  <c r="R194" i="18" s="1"/>
  <c r="K162" i="18"/>
  <c r="J162" i="18"/>
  <c r="K130" i="18"/>
  <c r="J130" i="18"/>
  <c r="L130" i="18" s="1"/>
  <c r="K98" i="18"/>
  <c r="J98" i="18"/>
  <c r="L98" i="18" s="1"/>
  <c r="K66" i="18"/>
  <c r="J66" i="18"/>
  <c r="M66" i="18"/>
  <c r="K34" i="18"/>
  <c r="J34" i="18"/>
  <c r="M34" i="18"/>
  <c r="K204" i="18"/>
  <c r="J204" i="18"/>
  <c r="K209" i="18"/>
  <c r="J209" i="18"/>
  <c r="L209" i="18" s="1"/>
  <c r="M209" i="18"/>
  <c r="N209" i="18" s="1"/>
  <c r="R209" i="18" s="1"/>
  <c r="K177" i="18"/>
  <c r="J177" i="18"/>
  <c r="L177" i="18" s="1"/>
  <c r="M177" i="18"/>
  <c r="N177" i="18" s="1"/>
  <c r="R177" i="18" s="1"/>
  <c r="K145" i="18"/>
  <c r="J145" i="18"/>
  <c r="K113" i="18"/>
  <c r="J113" i="18"/>
  <c r="L113" i="18" s="1"/>
  <c r="K81" i="18"/>
  <c r="J81" i="18"/>
  <c r="K49" i="18"/>
  <c r="J49" i="18"/>
  <c r="M49" i="18"/>
  <c r="K205" i="18"/>
  <c r="J205" i="18"/>
  <c r="M205" i="18"/>
  <c r="K164" i="18"/>
  <c r="J164" i="18"/>
  <c r="K208" i="18"/>
  <c r="J208" i="18"/>
  <c r="L208" i="18" s="1"/>
  <c r="M208" i="18"/>
  <c r="K176" i="18"/>
  <c r="J176" i="18"/>
  <c r="L176" i="18" s="1"/>
  <c r="M176" i="18"/>
  <c r="N176" i="18" s="1"/>
  <c r="R176" i="18" s="1"/>
  <c r="K144" i="18"/>
  <c r="J144" i="18"/>
  <c r="K112" i="18"/>
  <c r="J112" i="18"/>
  <c r="L112" i="18" s="1"/>
  <c r="K80" i="18"/>
  <c r="J80" i="18"/>
  <c r="L80" i="18" s="1"/>
  <c r="M80" i="18"/>
  <c r="K48" i="18"/>
  <c r="J48" i="18"/>
  <c r="M48" i="18"/>
  <c r="K189" i="18"/>
  <c r="J189" i="18"/>
  <c r="M189" i="18"/>
  <c r="K101" i="18"/>
  <c r="J101" i="18"/>
  <c r="K60" i="18"/>
  <c r="J60" i="18"/>
  <c r="L60" i="18" s="1"/>
  <c r="M60" i="18"/>
  <c r="K183" i="18"/>
  <c r="J183" i="18"/>
  <c r="L183" i="18" s="1"/>
  <c r="M183" i="18"/>
  <c r="K151" i="18"/>
  <c r="J151" i="18"/>
  <c r="K119" i="18"/>
  <c r="J119" i="18"/>
  <c r="L119" i="18" s="1"/>
  <c r="K87" i="18"/>
  <c r="J87" i="18"/>
  <c r="L87" i="18" s="1"/>
  <c r="M87" i="18"/>
  <c r="K55" i="18"/>
  <c r="J55" i="18"/>
  <c r="M55" i="18"/>
  <c r="K23" i="18"/>
  <c r="J23" i="18"/>
  <c r="M23" i="18"/>
  <c r="K148" i="18"/>
  <c r="J148" i="18"/>
  <c r="K198" i="18"/>
  <c r="J198" i="18"/>
  <c r="L198" i="18" s="1"/>
  <c r="M198" i="18"/>
  <c r="N198" i="18" s="1"/>
  <c r="R198" i="18" s="1"/>
  <c r="K166" i="18"/>
  <c r="J166" i="18"/>
  <c r="L166" i="18" s="1"/>
  <c r="M166" i="18"/>
  <c r="K134" i="18"/>
  <c r="J134" i="18"/>
  <c r="K102" i="18"/>
  <c r="J102" i="18"/>
  <c r="L102" i="18" s="1"/>
  <c r="K70" i="18"/>
  <c r="J70" i="18"/>
  <c r="L70" i="18" s="1"/>
  <c r="M70" i="18"/>
  <c r="K38" i="18"/>
  <c r="J38" i="18"/>
  <c r="M38" i="18"/>
  <c r="K173" i="18"/>
  <c r="J173" i="18"/>
  <c r="M173" i="18"/>
  <c r="K69" i="18"/>
  <c r="J69" i="18"/>
  <c r="K92" i="18"/>
  <c r="J92" i="18"/>
  <c r="L92" i="18" s="1"/>
  <c r="M92" i="18"/>
  <c r="N92" i="18" s="1"/>
  <c r="R92" i="18" s="1"/>
  <c r="K187" i="18"/>
  <c r="J187" i="18"/>
  <c r="L187" i="18" s="1"/>
  <c r="M187" i="18"/>
  <c r="N187" i="18" s="1"/>
  <c r="R187" i="18" s="1"/>
  <c r="K155" i="18"/>
  <c r="J155" i="18"/>
  <c r="K123" i="18"/>
  <c r="J123" i="18"/>
  <c r="L123" i="18" s="1"/>
  <c r="M123" i="18"/>
  <c r="K91" i="18"/>
  <c r="J91" i="18"/>
  <c r="L91" i="18" s="1"/>
  <c r="M91" i="18"/>
  <c r="K59" i="18"/>
  <c r="J59" i="18"/>
  <c r="M59" i="18"/>
  <c r="K27" i="18"/>
  <c r="J27" i="18"/>
  <c r="M27" i="18"/>
  <c r="K188" i="18"/>
  <c r="J188" i="18"/>
  <c r="M188" i="18"/>
  <c r="G212" i="18"/>
  <c r="M33" i="18" s="1"/>
  <c r="K20" i="18"/>
  <c r="J20" i="18"/>
  <c r="M20" i="18"/>
  <c r="K186" i="18"/>
  <c r="J186" i="18"/>
  <c r="L186" i="18" s="1"/>
  <c r="M186" i="18"/>
  <c r="K154" i="18"/>
  <c r="J154" i="18"/>
  <c r="M154" i="18"/>
  <c r="K122" i="18"/>
  <c r="J122" i="18"/>
  <c r="M122" i="18"/>
  <c r="K90" i="18"/>
  <c r="J90" i="18"/>
  <c r="M90" i="18"/>
  <c r="K58" i="18"/>
  <c r="J58" i="18"/>
  <c r="L58" i="18" s="1"/>
  <c r="M58" i="18"/>
  <c r="N58" i="18" s="1"/>
  <c r="R58" i="18" s="1"/>
  <c r="K26" i="18"/>
  <c r="J26" i="18"/>
  <c r="L26" i="18" s="1"/>
  <c r="M26" i="18"/>
  <c r="N26" i="18" s="1"/>
  <c r="R26" i="18" s="1"/>
  <c r="K156" i="18"/>
  <c r="J156" i="18"/>
  <c r="M156" i="18"/>
  <c r="K201" i="18"/>
  <c r="J201" i="18"/>
  <c r="L201" i="18" s="1"/>
  <c r="M201" i="18"/>
  <c r="K169" i="18"/>
  <c r="J169" i="18"/>
  <c r="L169" i="18" s="1"/>
  <c r="M169" i="18"/>
  <c r="N169" i="18" s="1"/>
  <c r="R169" i="18" s="1"/>
  <c r="K137" i="18"/>
  <c r="J137" i="18"/>
  <c r="M137" i="18"/>
  <c r="K105" i="18"/>
  <c r="J105" i="18"/>
  <c r="M105" i="18"/>
  <c r="K73" i="18"/>
  <c r="J73" i="18"/>
  <c r="L73" i="18" s="1"/>
  <c r="M73" i="18"/>
  <c r="K41" i="18"/>
  <c r="J41" i="18"/>
  <c r="L41" i="18" s="1"/>
  <c r="M41" i="18"/>
  <c r="N41" i="18" s="1"/>
  <c r="R41" i="18" s="1"/>
  <c r="K85" i="18"/>
  <c r="J85" i="18"/>
  <c r="L85" i="18" s="1"/>
  <c r="M85" i="18"/>
  <c r="N85" i="18" s="1"/>
  <c r="R85" i="18" s="1"/>
  <c r="K116" i="18"/>
  <c r="J116" i="18"/>
  <c r="M116" i="18"/>
  <c r="K200" i="18"/>
  <c r="J200" i="18"/>
  <c r="L200" i="18" s="1"/>
  <c r="M200" i="18"/>
  <c r="K168" i="18"/>
  <c r="J168" i="18"/>
  <c r="L168" i="18" s="1"/>
  <c r="M168" i="18"/>
  <c r="N168" i="18" s="1"/>
  <c r="R168" i="18" s="1"/>
  <c r="K136" i="18"/>
  <c r="J136" i="18"/>
  <c r="M136" i="18"/>
  <c r="K104" i="18"/>
  <c r="J104" i="18"/>
  <c r="M104" i="18"/>
  <c r="K72" i="18"/>
  <c r="J72" i="18"/>
  <c r="L72" i="18" s="1"/>
  <c r="M72" i="18"/>
  <c r="K40" i="18"/>
  <c r="J40" i="18"/>
  <c r="L40" i="18" s="1"/>
  <c r="M40" i="18"/>
  <c r="N40" i="18" s="1"/>
  <c r="R40" i="18" s="1"/>
  <c r="K165" i="18"/>
  <c r="J165" i="18"/>
  <c r="L165" i="18" s="1"/>
  <c r="M165" i="18"/>
  <c r="N165" i="18" s="1"/>
  <c r="R165" i="18" s="1"/>
  <c r="K77" i="18"/>
  <c r="J77" i="18"/>
  <c r="M77" i="18"/>
  <c r="K207" i="18"/>
  <c r="J207" i="18"/>
  <c r="L207" i="18" s="1"/>
  <c r="M207" i="18"/>
  <c r="K175" i="18"/>
  <c r="J175" i="18"/>
  <c r="L175" i="18" s="1"/>
  <c r="M175" i="18"/>
  <c r="N175" i="18" s="1"/>
  <c r="R175" i="18" s="1"/>
  <c r="K143" i="18"/>
  <c r="J143" i="18"/>
  <c r="M143" i="18"/>
  <c r="K111" i="18"/>
  <c r="J111" i="18"/>
  <c r="M111" i="18"/>
  <c r="K79" i="18"/>
  <c r="J79" i="18"/>
  <c r="L79" i="18" s="1"/>
  <c r="M79" i="18"/>
  <c r="K47" i="18"/>
  <c r="J47" i="18"/>
  <c r="L47" i="18" s="1"/>
  <c r="M47" i="18"/>
  <c r="N47" i="18" s="1"/>
  <c r="R47" i="18" s="1"/>
  <c r="K117" i="18"/>
  <c r="J117" i="18"/>
  <c r="L117" i="18" s="1"/>
  <c r="M117" i="18"/>
  <c r="N117" i="18" s="1"/>
  <c r="R117" i="18" s="1"/>
  <c r="K84" i="18"/>
  <c r="J84" i="18"/>
  <c r="M84" i="18"/>
  <c r="K190" i="18"/>
  <c r="J190" i="18"/>
  <c r="L190" i="18" s="1"/>
  <c r="M190" i="18"/>
  <c r="K158" i="18"/>
  <c r="J158" i="18"/>
  <c r="L158" i="18" s="1"/>
  <c r="M158" i="18"/>
  <c r="N158" i="18" s="1"/>
  <c r="R158" i="18" s="1"/>
  <c r="K126" i="18"/>
  <c r="J126" i="18"/>
  <c r="M126" i="18"/>
  <c r="K94" i="18"/>
  <c r="J94" i="18"/>
  <c r="M94" i="18"/>
  <c r="K62" i="18"/>
  <c r="J62" i="18"/>
  <c r="L62" i="18" s="1"/>
  <c r="M62" i="18"/>
  <c r="K30" i="18"/>
  <c r="J30" i="18"/>
  <c r="L30" i="18" s="1"/>
  <c r="M30" i="18"/>
  <c r="N30" i="18" s="1"/>
  <c r="R30" i="18" s="1"/>
  <c r="K157" i="18"/>
  <c r="J157" i="18"/>
  <c r="L157" i="18" s="1"/>
  <c r="M157" i="18"/>
  <c r="N157" i="18" s="1"/>
  <c r="R157" i="18" s="1"/>
  <c r="K29" i="18"/>
  <c r="J29" i="18"/>
  <c r="M29" i="18"/>
  <c r="K44" i="18"/>
  <c r="J44" i="18"/>
  <c r="L44" i="18" s="1"/>
  <c r="M44" i="18"/>
  <c r="N44" i="18" s="1"/>
  <c r="R44" i="18" s="1"/>
  <c r="N143" i="18" l="1"/>
  <c r="R143" i="18" s="1"/>
  <c r="N137" i="18"/>
  <c r="R137" i="18" s="1"/>
  <c r="K14" i="18"/>
  <c r="K212" i="18"/>
  <c r="N141" i="18"/>
  <c r="R141" i="18" s="1"/>
  <c r="N139" i="18"/>
  <c r="R139" i="18" s="1"/>
  <c r="N205" i="18"/>
  <c r="R205" i="18" s="1"/>
  <c r="N33" i="18"/>
  <c r="R33" i="18" s="1"/>
  <c r="N128" i="18"/>
  <c r="R128" i="18" s="1"/>
  <c r="L20" i="18"/>
  <c r="J212" i="18"/>
  <c r="J14" i="18"/>
  <c r="L29" i="18"/>
  <c r="N183" i="18"/>
  <c r="R183" i="18" s="1"/>
  <c r="N189" i="18"/>
  <c r="R189" i="18" s="1"/>
  <c r="N208" i="18"/>
  <c r="R208" i="18" s="1"/>
  <c r="N68" i="18"/>
  <c r="R68" i="18" s="1"/>
  <c r="N120" i="18"/>
  <c r="R120" i="18" s="1"/>
  <c r="L43" i="18"/>
  <c r="N71" i="18"/>
  <c r="R71" i="18" s="1"/>
  <c r="N105" i="18"/>
  <c r="R105" i="18" s="1"/>
  <c r="N122" i="18"/>
  <c r="R122" i="18" s="1"/>
  <c r="N166" i="18"/>
  <c r="R166" i="18" s="1"/>
  <c r="N60" i="18"/>
  <c r="R60" i="18" s="1"/>
  <c r="N48" i="18"/>
  <c r="R48" i="18" s="1"/>
  <c r="L81" i="18"/>
  <c r="L99" i="18"/>
  <c r="L160" i="18"/>
  <c r="L86" i="18"/>
  <c r="L83" i="18"/>
  <c r="N100" i="18"/>
  <c r="R100" i="18" s="1"/>
  <c r="N29" i="18"/>
  <c r="R29" i="18" s="1"/>
  <c r="L126" i="18"/>
  <c r="N126" i="18" s="1"/>
  <c r="R126" i="18" s="1"/>
  <c r="L143" i="18"/>
  <c r="L136" i="18"/>
  <c r="N136" i="18" s="1"/>
  <c r="R136" i="18" s="1"/>
  <c r="N116" i="18"/>
  <c r="R116" i="18" s="1"/>
  <c r="L137" i="18"/>
  <c r="N156" i="18"/>
  <c r="R156" i="18" s="1"/>
  <c r="L154" i="18"/>
  <c r="N154" i="18" s="1"/>
  <c r="R154" i="18" s="1"/>
  <c r="L59" i="18"/>
  <c r="N59" i="18" s="1"/>
  <c r="R59" i="18" s="1"/>
  <c r="M155" i="18"/>
  <c r="N155" i="18" s="1"/>
  <c r="R155" i="18" s="1"/>
  <c r="L38" i="18"/>
  <c r="N38" i="18" s="1"/>
  <c r="R38" i="18" s="1"/>
  <c r="M134" i="18"/>
  <c r="N134" i="18" s="1"/>
  <c r="R134" i="18" s="1"/>
  <c r="L55" i="18"/>
  <c r="N55" i="18" s="1"/>
  <c r="R55" i="18" s="1"/>
  <c r="M151" i="18"/>
  <c r="L48" i="18"/>
  <c r="M144" i="18"/>
  <c r="N144" i="18" s="1"/>
  <c r="R144" i="18" s="1"/>
  <c r="L49" i="18"/>
  <c r="N49" i="18" s="1"/>
  <c r="R49" i="18" s="1"/>
  <c r="M145" i="18"/>
  <c r="N145" i="18" s="1"/>
  <c r="R145" i="18" s="1"/>
  <c r="L66" i="18"/>
  <c r="N66" i="18" s="1"/>
  <c r="R66" i="18" s="1"/>
  <c r="M162" i="18"/>
  <c r="N162" i="18" s="1"/>
  <c r="R162" i="18" s="1"/>
  <c r="L67" i="18"/>
  <c r="N67" i="18" s="1"/>
  <c r="R67" i="18" s="1"/>
  <c r="M163" i="18"/>
  <c r="L37" i="18"/>
  <c r="N37" i="18" s="1"/>
  <c r="R37" i="18" s="1"/>
  <c r="M21" i="18"/>
  <c r="N21" i="18" s="1"/>
  <c r="R21" i="18" s="1"/>
  <c r="L178" i="18"/>
  <c r="N178" i="18" s="1"/>
  <c r="R178" i="18" s="1"/>
  <c r="M179" i="18"/>
  <c r="N179" i="18" s="1"/>
  <c r="R179" i="18" s="1"/>
  <c r="L22" i="18"/>
  <c r="N22" i="18" s="1"/>
  <c r="R22" i="18" s="1"/>
  <c r="M118" i="18"/>
  <c r="N118" i="18" s="1"/>
  <c r="R118" i="18" s="1"/>
  <c r="L103" i="18"/>
  <c r="N103" i="18" s="1"/>
  <c r="R103" i="18" s="1"/>
  <c r="M96" i="18"/>
  <c r="N96" i="18" s="1"/>
  <c r="R96" i="18" s="1"/>
  <c r="L114" i="18"/>
  <c r="N114" i="18" s="1"/>
  <c r="R114" i="18" s="1"/>
  <c r="M211" i="18"/>
  <c r="N211" i="18" s="1"/>
  <c r="R211" i="18" s="1"/>
  <c r="L132" i="18"/>
  <c r="N132" i="18" s="1"/>
  <c r="R132" i="18" s="1"/>
  <c r="M46" i="18"/>
  <c r="N46" i="18" s="1"/>
  <c r="R46" i="18" s="1"/>
  <c r="L206" i="18"/>
  <c r="N206" i="18" s="1"/>
  <c r="R206" i="18" s="1"/>
  <c r="M63" i="18"/>
  <c r="N63" i="18" s="1"/>
  <c r="R63" i="18" s="1"/>
  <c r="L124" i="18"/>
  <c r="N124" i="18" s="1"/>
  <c r="R124" i="18" s="1"/>
  <c r="M56" i="18"/>
  <c r="L28" i="18"/>
  <c r="N28" i="18" s="1"/>
  <c r="R28" i="18" s="1"/>
  <c r="M57" i="18"/>
  <c r="N57" i="18" s="1"/>
  <c r="R57" i="18" s="1"/>
  <c r="L52" i="18"/>
  <c r="N52" i="18" s="1"/>
  <c r="R52" i="18" s="1"/>
  <c r="M74" i="18"/>
  <c r="N74" i="18" s="1"/>
  <c r="R74" i="18" s="1"/>
  <c r="L100" i="18"/>
  <c r="M75" i="18"/>
  <c r="N75" i="18" s="1"/>
  <c r="R75" i="18" s="1"/>
  <c r="L128" i="18"/>
  <c r="M193" i="18"/>
  <c r="N193" i="18" s="1"/>
  <c r="R193" i="18" s="1"/>
  <c r="L147" i="18"/>
  <c r="N147" i="18" s="1"/>
  <c r="R147" i="18" s="1"/>
  <c r="N62" i="18"/>
  <c r="R62" i="18" s="1"/>
  <c r="L84" i="18"/>
  <c r="N84" i="18" s="1"/>
  <c r="R84" i="18" s="1"/>
  <c r="N79" i="18"/>
  <c r="R79" i="18" s="1"/>
  <c r="L77" i="18"/>
  <c r="N77" i="18" s="1"/>
  <c r="R77" i="18" s="1"/>
  <c r="N72" i="18"/>
  <c r="R72" i="18" s="1"/>
  <c r="L116" i="18"/>
  <c r="N73" i="18"/>
  <c r="R73" i="18" s="1"/>
  <c r="L156" i="18"/>
  <c r="N188" i="18"/>
  <c r="R188" i="18" s="1"/>
  <c r="L155" i="18"/>
  <c r="M69" i="18"/>
  <c r="N69" i="18" s="1"/>
  <c r="R69" i="18" s="1"/>
  <c r="L134" i="18"/>
  <c r="M148" i="18"/>
  <c r="N148" i="18" s="1"/>
  <c r="R148" i="18" s="1"/>
  <c r="L151" i="18"/>
  <c r="M101" i="18"/>
  <c r="L144" i="18"/>
  <c r="M164" i="18"/>
  <c r="N164" i="18" s="1"/>
  <c r="R164" i="18" s="1"/>
  <c r="L145" i="18"/>
  <c r="M204" i="18"/>
  <c r="N204" i="18" s="1"/>
  <c r="R204" i="18" s="1"/>
  <c r="L162" i="18"/>
  <c r="M45" i="18"/>
  <c r="N45" i="18" s="1"/>
  <c r="R45" i="18" s="1"/>
  <c r="L163" i="18"/>
  <c r="M53" i="18"/>
  <c r="M108" i="18"/>
  <c r="M36" i="18"/>
  <c r="M161" i="18"/>
  <c r="M142" i="18"/>
  <c r="M159" i="18"/>
  <c r="N159" i="18" s="1"/>
  <c r="R159" i="18" s="1"/>
  <c r="L56" i="18"/>
  <c r="J13" i="18"/>
  <c r="M152" i="18"/>
  <c r="M153" i="18"/>
  <c r="N153" i="18" s="1"/>
  <c r="R153" i="18" s="1"/>
  <c r="M170" i="18"/>
  <c r="M171" i="18"/>
  <c r="N171" i="18" s="1"/>
  <c r="R171" i="18" s="1"/>
  <c r="M199" i="18"/>
  <c r="M140" i="18"/>
  <c r="N140" i="18" s="1"/>
  <c r="R140" i="18" s="1"/>
  <c r="L90" i="18"/>
  <c r="N90" i="18" s="1"/>
  <c r="R90" i="18" s="1"/>
  <c r="N186" i="18"/>
  <c r="R186" i="18" s="1"/>
  <c r="L188" i="18"/>
  <c r="N91" i="18"/>
  <c r="R91" i="18" s="1"/>
  <c r="L69" i="18"/>
  <c r="N70" i="18"/>
  <c r="R70" i="18" s="1"/>
  <c r="L148" i="18"/>
  <c r="N87" i="18"/>
  <c r="R87" i="18" s="1"/>
  <c r="L101" i="18"/>
  <c r="N80" i="18"/>
  <c r="R80" i="18" s="1"/>
  <c r="L164" i="18"/>
  <c r="M81" i="18"/>
  <c r="N81" i="18" s="1"/>
  <c r="R81" i="18" s="1"/>
  <c r="L204" i="18"/>
  <c r="M98" i="18"/>
  <c r="N98" i="18" s="1"/>
  <c r="R98" i="18" s="1"/>
  <c r="L45" i="18"/>
  <c r="M99" i="18"/>
  <c r="L53" i="18"/>
  <c r="M64" i="18"/>
  <c r="N64" i="18" s="1"/>
  <c r="R64" i="18" s="1"/>
  <c r="L108" i="18"/>
  <c r="M197" i="18"/>
  <c r="N197" i="18" s="1"/>
  <c r="R197" i="18" s="1"/>
  <c r="M54" i="18"/>
  <c r="N54" i="18" s="1"/>
  <c r="R54" i="18" s="1"/>
  <c r="L36" i="18"/>
  <c r="M167" i="18"/>
  <c r="N167" i="18" s="1"/>
  <c r="R167" i="18" s="1"/>
  <c r="L161" i="18"/>
  <c r="M210" i="18"/>
  <c r="N210" i="18" s="1"/>
  <c r="R210" i="18" s="1"/>
  <c r="M109" i="18"/>
  <c r="N109" i="18" s="1"/>
  <c r="R109" i="18" s="1"/>
  <c r="L142" i="18"/>
  <c r="M196" i="18"/>
  <c r="L159" i="18"/>
  <c r="M133" i="18"/>
  <c r="N133" i="18" s="1"/>
  <c r="R133" i="18" s="1"/>
  <c r="K13" i="18"/>
  <c r="L152" i="18"/>
  <c r="M172" i="18"/>
  <c r="N172" i="18" s="1"/>
  <c r="R172" i="18" s="1"/>
  <c r="L153" i="18"/>
  <c r="M61" i="18"/>
  <c r="N61" i="18" s="1"/>
  <c r="R61" i="18" s="1"/>
  <c r="L170" i="18"/>
  <c r="M93" i="18"/>
  <c r="L171" i="18"/>
  <c r="L199" i="18"/>
  <c r="M76" i="18"/>
  <c r="N76" i="18" s="1"/>
  <c r="R76" i="18" s="1"/>
  <c r="L140" i="18"/>
  <c r="N78" i="18"/>
  <c r="R78" i="18" s="1"/>
  <c r="L196" i="18"/>
  <c r="N95" i="18"/>
  <c r="R95" i="18" s="1"/>
  <c r="M88" i="18"/>
  <c r="N88" i="18" s="1"/>
  <c r="R88" i="18" s="1"/>
  <c r="M89" i="18"/>
  <c r="N89" i="18" s="1"/>
  <c r="R89" i="18" s="1"/>
  <c r="M106" i="18"/>
  <c r="N106" i="18" s="1"/>
  <c r="R106" i="18" s="1"/>
  <c r="L93" i="18"/>
  <c r="M107" i="18"/>
  <c r="N107" i="18" s="1"/>
  <c r="R107" i="18" s="1"/>
  <c r="M180" i="18"/>
  <c r="N180" i="18" s="1"/>
  <c r="R180" i="18" s="1"/>
  <c r="L76" i="18"/>
  <c r="M50" i="18"/>
  <c r="N50" i="18" s="1"/>
  <c r="R50" i="18" s="1"/>
  <c r="N39" i="18"/>
  <c r="R39" i="18" s="1"/>
  <c r="N174" i="18"/>
  <c r="R174" i="18" s="1"/>
  <c r="M184" i="18"/>
  <c r="N184" i="18" s="1"/>
  <c r="R184" i="18" s="1"/>
  <c r="M185" i="18"/>
  <c r="N185" i="18" s="1"/>
  <c r="R185" i="18" s="1"/>
  <c r="M202" i="18"/>
  <c r="N202" i="18" s="1"/>
  <c r="R202" i="18" s="1"/>
  <c r="M203" i="18"/>
  <c r="M32" i="18"/>
  <c r="N32" i="18" s="1"/>
  <c r="R32" i="18" s="1"/>
  <c r="M51" i="18"/>
  <c r="L94" i="18"/>
  <c r="N94" i="18" s="1"/>
  <c r="R94" i="18" s="1"/>
  <c r="N190" i="18"/>
  <c r="R190" i="18" s="1"/>
  <c r="L111" i="18"/>
  <c r="N111" i="18" s="1"/>
  <c r="R111" i="18" s="1"/>
  <c r="N207" i="18"/>
  <c r="R207" i="18" s="1"/>
  <c r="L104" i="18"/>
  <c r="N104" i="18" s="1"/>
  <c r="R104" i="18" s="1"/>
  <c r="N200" i="18"/>
  <c r="R200" i="18" s="1"/>
  <c r="L105" i="18"/>
  <c r="N201" i="18"/>
  <c r="R201" i="18" s="1"/>
  <c r="L122" i="18"/>
  <c r="L27" i="18"/>
  <c r="N27" i="18" s="1"/>
  <c r="R27" i="18" s="1"/>
  <c r="N123" i="18"/>
  <c r="R123" i="18" s="1"/>
  <c r="L173" i="18"/>
  <c r="N173" i="18" s="1"/>
  <c r="R173" i="18" s="1"/>
  <c r="M102" i="18"/>
  <c r="N102" i="18" s="1"/>
  <c r="R102" i="18" s="1"/>
  <c r="L23" i="18"/>
  <c r="N23" i="18" s="1"/>
  <c r="R23" i="18" s="1"/>
  <c r="M119" i="18"/>
  <c r="N119" i="18" s="1"/>
  <c r="R119" i="18" s="1"/>
  <c r="L189" i="18"/>
  <c r="M112" i="18"/>
  <c r="N112" i="18" s="1"/>
  <c r="R112" i="18" s="1"/>
  <c r="L205" i="18"/>
  <c r="M113" i="18"/>
  <c r="N113" i="18" s="1"/>
  <c r="R113" i="18" s="1"/>
  <c r="L34" i="18"/>
  <c r="N34" i="18" s="1"/>
  <c r="R34" i="18" s="1"/>
  <c r="M130" i="18"/>
  <c r="N130" i="18" s="1"/>
  <c r="R130" i="18" s="1"/>
  <c r="L35" i="18"/>
  <c r="N35" i="18" s="1"/>
  <c r="R35" i="18" s="1"/>
  <c r="M131" i="18"/>
  <c r="N131" i="18" s="1"/>
  <c r="R131" i="18" s="1"/>
  <c r="L135" i="18"/>
  <c r="N135" i="18" s="1"/>
  <c r="R135" i="18" s="1"/>
  <c r="M160" i="18"/>
  <c r="N160" i="18" s="1"/>
  <c r="R160" i="18" s="1"/>
  <c r="L82" i="18"/>
  <c r="N82" i="18" s="1"/>
  <c r="R82" i="18" s="1"/>
  <c r="M115" i="18"/>
  <c r="N115" i="18" s="1"/>
  <c r="R115" i="18" s="1"/>
  <c r="M86" i="18"/>
  <c r="N86" i="18" s="1"/>
  <c r="R86" i="18" s="1"/>
  <c r="L39" i="18"/>
  <c r="M149" i="18"/>
  <c r="N149" i="18" s="1"/>
  <c r="R149" i="18" s="1"/>
  <c r="L125" i="18"/>
  <c r="N125" i="18" s="1"/>
  <c r="R125" i="18" s="1"/>
  <c r="M83" i="18"/>
  <c r="N83" i="18" s="1"/>
  <c r="R83" i="18" s="1"/>
  <c r="M181" i="18"/>
  <c r="N181" i="18" s="1"/>
  <c r="R181" i="18" s="1"/>
  <c r="L174" i="18"/>
  <c r="M31" i="18"/>
  <c r="N31" i="18" s="1"/>
  <c r="R31" i="18" s="1"/>
  <c r="L191" i="18"/>
  <c r="N191" i="18" s="1"/>
  <c r="R191" i="18" s="1"/>
  <c r="M24" i="18"/>
  <c r="N24" i="18" s="1"/>
  <c r="R24" i="18" s="1"/>
  <c r="L184" i="18"/>
  <c r="M25" i="18"/>
  <c r="N25" i="18" s="1"/>
  <c r="R25" i="18" s="1"/>
  <c r="L185" i="18"/>
  <c r="M42" i="18"/>
  <c r="N42" i="18" s="1"/>
  <c r="R42" i="18" s="1"/>
  <c r="L202" i="18"/>
  <c r="M43" i="18"/>
  <c r="N43" i="18" s="1"/>
  <c r="R43" i="18" s="1"/>
  <c r="L203" i="18"/>
  <c r="L32" i="18"/>
  <c r="L51" i="18"/>
  <c r="L13" i="18" l="1"/>
  <c r="N56" i="18"/>
  <c r="N99" i="18"/>
  <c r="R99" i="18" s="1"/>
  <c r="N51" i="18"/>
  <c r="R51" i="18" s="1"/>
  <c r="N199" i="18"/>
  <c r="R199" i="18" s="1"/>
  <c r="N142" i="18"/>
  <c r="R142" i="18" s="1"/>
  <c r="M13" i="18"/>
  <c r="N93" i="18"/>
  <c r="R93" i="18" s="1"/>
  <c r="N161" i="18"/>
  <c r="R161" i="18" s="1"/>
  <c r="M212" i="18"/>
  <c r="L212" i="18"/>
  <c r="L14" i="18"/>
  <c r="N20" i="18"/>
  <c r="N203" i="18"/>
  <c r="R203" i="18" s="1"/>
  <c r="N196" i="18"/>
  <c r="R196" i="18" s="1"/>
  <c r="N170" i="18"/>
  <c r="R170" i="18" s="1"/>
  <c r="N36" i="18"/>
  <c r="R36" i="18" s="1"/>
  <c r="N108" i="18"/>
  <c r="R108" i="18" s="1"/>
  <c r="N152" i="18"/>
  <c r="R152" i="18" s="1"/>
  <c r="N53" i="18"/>
  <c r="R53" i="18" s="1"/>
  <c r="N101" i="18"/>
  <c r="R101" i="18" s="1"/>
  <c r="N163" i="18"/>
  <c r="R163" i="18" s="1"/>
  <c r="N151" i="18"/>
  <c r="R151" i="18" s="1"/>
  <c r="R20" i="18" l="1"/>
  <c r="N14" i="18"/>
  <c r="R56" i="18"/>
  <c r="R13" i="18" s="1"/>
  <c r="N13" i="18"/>
  <c r="R212" i="18" l="1"/>
  <c r="R14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rlp</author>
  </authors>
  <commentList>
    <comment ref="J2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True-Up ATRR and rate from current year's (t=0) update.
</t>
        </r>
      </text>
    </comment>
    <comment ref="K2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(projected) from prev year's template (t-1)</t>
        </r>
      </text>
    </comment>
    <comment ref="K3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5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(projected) from prev year's template (t-1)</t>
        </r>
      </text>
    </comment>
    <comment ref="K6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J19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Actual Charge based on after the fact "True-Up" rate for entire prior CY.</t>
        </r>
      </text>
    </comment>
    <comment ref="K19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Amount charged during the Rate Year based on projected rates.</t>
        </r>
      </text>
    </comment>
  </commentList>
</comments>
</file>

<file path=xl/sharedStrings.xml><?xml version="1.0" encoding="utf-8"?>
<sst xmlns="http://schemas.openxmlformats.org/spreadsheetml/2006/main" count="442" uniqueCount="106">
  <si>
    <t>Customer</t>
  </si>
  <si>
    <t>MW</t>
  </si>
  <si>
    <t>Total True-up</t>
  </si>
  <si>
    <t>True-Up w/o Interest</t>
  </si>
  <si>
    <t>Billing
Date*</t>
  </si>
  <si>
    <t>Payment Received*</t>
  </si>
  <si>
    <t>Annual RR</t>
  </si>
  <si>
    <t>Interest</t>
  </si>
  <si>
    <t>OMPA</t>
  </si>
  <si>
    <t>WFEC</t>
  </si>
  <si>
    <t>Monthly Rate</t>
  </si>
  <si>
    <t>True-up Values:  Surcharge / (Refund)</t>
  </si>
  <si>
    <t>Sched.</t>
  </si>
  <si>
    <t>ETEC</t>
  </si>
  <si>
    <t>AECC</t>
  </si>
  <si>
    <t>Greenbelt</t>
  </si>
  <si>
    <t>Lighthouse</t>
  </si>
  <si>
    <t>Coffeyville, KS</t>
  </si>
  <si>
    <t>Grand Total</t>
  </si>
  <si>
    <t>OG&amp;E</t>
  </si>
  <si>
    <t>AEP Revenue Adjustment</t>
  </si>
  <si>
    <t>PSO</t>
  </si>
  <si>
    <t>SWEPCO</t>
  </si>
  <si>
    <r>
      <t xml:space="preserve">NOTE:  </t>
    </r>
    <r>
      <rPr>
        <sz val="10"/>
        <rFont val="Arial"/>
        <family val="2"/>
      </rPr>
      <t>This is a normal part of the Annual True-up</t>
    </r>
  </si>
  <si>
    <t>Data</t>
  </si>
  <si>
    <t>Sum of True-Up w/o Interest</t>
  </si>
  <si>
    <t>Sum of Interest</t>
  </si>
  <si>
    <t>Sum of Total True-up</t>
  </si>
  <si>
    <t>Total Sum of True-Up w/o Interest</t>
  </si>
  <si>
    <t>Total Sum of Interest</t>
  </si>
  <si>
    <t>Total Sum of Total True-up</t>
  </si>
  <si>
    <t>(A)</t>
  </si>
  <si>
    <t>(B)</t>
  </si>
  <si>
    <t>(C)</t>
  </si>
  <si>
    <t>(D) = (B) - (C)</t>
  </si>
  <si>
    <t>(E)</t>
  </si>
  <si>
    <t>Network Customer True-Up (Schedule 9 charges)</t>
  </si>
  <si>
    <t>Projected</t>
  </si>
  <si>
    <r>
      <t xml:space="preserve">Projected </t>
    </r>
    <r>
      <rPr>
        <sz val="10"/>
        <rFont val="Arial Narrow"/>
        <family val="2"/>
      </rPr>
      <t>(Invoiced)</t>
    </r>
  </si>
  <si>
    <t xml:space="preserve">  ARR</t>
  </si>
  <si>
    <t xml:space="preserve">  Monthly Rates</t>
  </si>
  <si>
    <r>
      <t>True-Up
(</t>
    </r>
    <r>
      <rPr>
        <sz val="10"/>
        <rFont val="Arial"/>
        <family val="2"/>
      </rPr>
      <t>w/o Interest)</t>
    </r>
  </si>
  <si>
    <r>
      <t>Actual</t>
    </r>
    <r>
      <rPr>
        <sz val="10"/>
        <rFont val="Arial Narrow"/>
        <family val="2"/>
      </rPr>
      <t xml:space="preserve"> (True-Up)</t>
    </r>
  </si>
  <si>
    <r>
      <t xml:space="preserve">Actual </t>
    </r>
    <r>
      <rPr>
        <sz val="10"/>
        <rFont val="Arial Narrow"/>
        <family val="2"/>
      </rPr>
      <t>(True-Up)</t>
    </r>
  </si>
  <si>
    <t xml:space="preserve">    Non-Affiliate
    Subtotals</t>
  </si>
  <si>
    <t>TOTALS</t>
  </si>
  <si>
    <t>Total
True-Up Surcharge / (Refund)</t>
  </si>
  <si>
    <t>Comment</t>
  </si>
  <si>
    <t>Actual True-Up Rate</t>
  </si>
  <si>
    <t>Invoiced*** Charge (proj.)</t>
  </si>
  <si>
    <r>
      <t>Projected Rate</t>
    </r>
    <r>
      <rPr>
        <sz val="8"/>
        <rFont val="Arial"/>
        <family val="2"/>
      </rPr>
      <t xml:space="preserve"> (as Invoiced)</t>
    </r>
  </si>
  <si>
    <t>Sum of Invoiced*** Charge (proj.)</t>
  </si>
  <si>
    <t xml:space="preserve">  Customer</t>
  </si>
  <si>
    <t xml:space="preserve">    Affiliate
    Subtotals</t>
  </si>
  <si>
    <t>Customer True-Up for Amounts Billed</t>
  </si>
  <si>
    <t>Serivce Month</t>
  </si>
  <si>
    <t>Bentonville, AR</t>
  </si>
  <si>
    <t>Prescott, AR</t>
  </si>
  <si>
    <t>Minden, LA</t>
  </si>
  <si>
    <t>Hope, AR</t>
  </si>
  <si>
    <t>3rd Party Totals</t>
  </si>
  <si>
    <t>SPP Zone1 Totals (incl. PSO/SWE)</t>
  </si>
  <si>
    <t>Surcharge / (Refund)</t>
  </si>
  <si>
    <t>Total Sum of Invoiced*** Charge (proj.)</t>
  </si>
  <si>
    <r>
      <t xml:space="preserve">*** </t>
    </r>
    <r>
      <rPr>
        <sz val="8"/>
        <rFont val="Arial"/>
        <family val="2"/>
      </rPr>
      <t>Invoiced Charge reflects any subsequent routine invoice corrections by SPP.</t>
    </r>
  </si>
  <si>
    <t>Instructions</t>
  </si>
  <si>
    <r>
      <t>Roll Date: input trueup year in cell=</t>
    </r>
    <r>
      <rPr>
        <b/>
        <i/>
        <sz val="10"/>
        <rFont val="Arial"/>
        <family val="2"/>
      </rPr>
      <t>Transactions!N1</t>
    </r>
  </si>
  <si>
    <t>Update Prime Rates data:  see Prime-Rates tab</t>
  </si>
  <si>
    <r>
      <t>Verify Refund Date:  verify and change (if needed) Refund Date celll=</t>
    </r>
    <r>
      <rPr>
        <b/>
        <i/>
        <sz val="10"/>
        <rFont val="Arial"/>
        <family val="2"/>
      </rPr>
      <t>Transactions!W8</t>
    </r>
  </si>
  <si>
    <t>Billing/Pmt Rec'd Dates:  Verify these dates (currently set to formulaicly update relative to trueup year)</t>
  </si>
  <si>
    <t>Update SPP Zone1 NITS Customer list &amp; formulas (if needed): look at LoadWS in main template &amp; also check w/Load Settlements.</t>
  </si>
  <si>
    <t>Update invoiced Load values per month per customer (from LoadWS in main template) (transpose)</t>
  </si>
  <si>
    <t>Sum of True-Up Charge</t>
  </si>
  <si>
    <t>Total Sum of True-Up Charge</t>
  </si>
  <si>
    <r>
      <t xml:space="preserve">Refresh Pivot Table in </t>
    </r>
    <r>
      <rPr>
        <b/>
        <sz val="10"/>
        <rFont val="Arial"/>
        <family val="2"/>
      </rPr>
      <t>tab=PIVOT</t>
    </r>
  </si>
  <si>
    <t>NOTE:  Be aware that title changes to a Transaction tab column summarized in the pivot table cause such column to be dropped form the pivot table when it is refreshed.</t>
  </si>
  <si>
    <t>NOTE:  In that instance, manually update the LAYOUT of the pivot table to re-summarize the column that encountered a title change.</t>
  </si>
  <si>
    <t>NOTE:  The SUMMARY table in that tab contains GETPIVOTDATA functions that should still work as they reference tltle cells in Transactions tab.</t>
  </si>
  <si>
    <t>Update Rate Summary tab. (very manual process).</t>
  </si>
  <si>
    <t xml:space="preserve">            as contemplated in the AEP Formula Rate Protocols.</t>
  </si>
  <si>
    <t>NOTE:  "Rate Summary" tab is usually "walked-through" during customer meeting but not printed.</t>
  </si>
  <si>
    <t>NOTE:  Print to PDF the "Summary" tab as a supplement for customer Mtg handout and published PDFs.</t>
  </si>
  <si>
    <r>
      <t>Input Sched 9 ATRRs &amp; rates from prior 2 update's (projected) and this year's update (trueup)=</t>
    </r>
    <r>
      <rPr>
        <b/>
        <i/>
        <sz val="10"/>
        <rFont val="Arial"/>
        <family val="2"/>
      </rPr>
      <t>Transactions!J2:K8</t>
    </r>
  </si>
  <si>
    <t>SWEPCO-Valley</t>
  </si>
  <si>
    <t>* SPP bills customer on third business day, AEP receives on 24th or next business day.</t>
  </si>
  <si>
    <t>AECI</t>
  </si>
  <si>
    <t>Tax Rebilling Rate</t>
  </si>
  <si>
    <t>Tax True Up Billing</t>
  </si>
  <si>
    <t>Tax True Up</t>
  </si>
  <si>
    <t>Sum of Tax True Up Billing</t>
  </si>
  <si>
    <t>Total Sum of Tax True Up Billing</t>
  </si>
  <si>
    <t>Sum of Tax True Up</t>
  </si>
  <si>
    <t>Total Sum of Tax True Up</t>
  </si>
  <si>
    <t>(G) = (D) + (E) - (F)</t>
  </si>
  <si>
    <t>(G)</t>
  </si>
  <si>
    <t>January - December</t>
  </si>
  <si>
    <t>AEP SOUTHWESTERN TRANSMISSION</t>
  </si>
  <si>
    <t xml:space="preserve">    &lt;&lt; SOUTHWESTERN TRANSMISSION COMPANY &gt;&gt;</t>
  </si>
  <si>
    <t>AEPTCo Formula Rate -- FERC Docket ER18-194</t>
  </si>
  <si>
    <t>Total</t>
  </si>
  <si>
    <t>OKT</t>
  </si>
  <si>
    <t>SWT</t>
  </si>
  <si>
    <t>2021 Formal Challenge Refund with Interest</t>
  </si>
  <si>
    <t>2021 NOLC Refund Amount with Interest (NITS)</t>
  </si>
  <si>
    <t>2021 Load Share</t>
  </si>
  <si>
    <t>2023 True Up Including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</si>
</sst>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"/>
    <numFmt numFmtId="168" formatCode="0.0%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i/>
      <sz val="9"/>
      <color indexed="10"/>
      <name val="Arial"/>
      <family val="2"/>
    </font>
    <font>
      <b/>
      <sz val="10"/>
      <color indexed="12"/>
      <name val="Arial"/>
      <family val="2"/>
    </font>
    <font>
      <b/>
      <i/>
      <sz val="10"/>
      <name val="Arial"/>
      <family val="2"/>
    </font>
    <font>
      <sz val="10"/>
      <color rgb="FF0000FF"/>
      <name val="Arial"/>
      <family val="2"/>
    </font>
    <font>
      <sz val="8"/>
      <color rgb="FF0066FF"/>
      <name val="Arial"/>
      <family val="2"/>
    </font>
    <font>
      <sz val="10"/>
      <name val="Arial Narrow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7"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 quotePrefix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23" fillId="6" borderId="0" xfId="0" applyFont="1" applyFill="1" applyProtection="1"/>
    <xf numFmtId="0" fontId="2" fillId="2" borderId="0" xfId="0" quotePrefix="1" applyFont="1" applyFill="1" applyAlignment="1" applyProtection="1">
      <alignment horizontal="left"/>
    </xf>
    <xf numFmtId="0" fontId="0" fillId="2" borderId="0" xfId="0" applyFill="1" applyProtection="1"/>
    <xf numFmtId="0" fontId="10" fillId="0" borderId="0" xfId="0" quotePrefix="1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16" fillId="0" borderId="1" xfId="0" quotePrefix="1" applyFont="1" applyFill="1" applyBorder="1" applyAlignment="1" applyProtection="1">
      <alignment horizontal="center" vertical="center"/>
    </xf>
    <xf numFmtId="0" fontId="15" fillId="0" borderId="2" xfId="0" quotePrefix="1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15" fillId="0" borderId="4" xfId="0" quotePrefix="1" applyFont="1" applyBorder="1" applyAlignment="1" applyProtection="1">
      <alignment horizontal="right"/>
    </xf>
    <xf numFmtId="0" fontId="15" fillId="0" borderId="0" xfId="0" quotePrefix="1" applyFont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>
      <alignment horizontal="centerContinuous"/>
    </xf>
    <xf numFmtId="0" fontId="14" fillId="0" borderId="5" xfId="0" applyFont="1" applyBorder="1" applyAlignment="1" applyProtection="1">
      <alignment horizontal="center" vertical="center" wrapText="1"/>
    </xf>
    <xf numFmtId="0" fontId="14" fillId="0" borderId="0" xfId="0" quotePrefix="1" applyFont="1" applyAlignment="1" applyProtection="1">
      <alignment horizontal="center" vertical="center" wrapText="1"/>
    </xf>
    <xf numFmtId="0" fontId="14" fillId="0" borderId="6" xfId="0" quotePrefix="1" applyFont="1" applyBorder="1" applyAlignment="1" applyProtection="1">
      <alignment horizontal="center" vertical="center" wrapText="1"/>
    </xf>
    <xf numFmtId="0" fontId="14" fillId="0" borderId="0" xfId="0" quotePrefix="1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/>
    </xf>
    <xf numFmtId="0" fontId="15" fillId="0" borderId="2" xfId="0" quotePrefix="1" applyFont="1" applyBorder="1" applyAlignment="1" applyProtection="1">
      <alignment horizontal="left" vertical="center"/>
    </xf>
    <xf numFmtId="0" fontId="15" fillId="0" borderId="3" xfId="0" quotePrefix="1" applyFont="1" applyBorder="1" applyAlignment="1" applyProtection="1">
      <alignment horizontal="left" vertical="center"/>
    </xf>
    <xf numFmtId="167" fontId="1" fillId="0" borderId="3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167" fontId="13" fillId="0" borderId="4" xfId="0" applyNumberFormat="1" applyFont="1" applyFill="1" applyBorder="1" applyAlignment="1" applyProtection="1">
      <alignment horizontal="center" vertical="center"/>
    </xf>
    <xf numFmtId="167" fontId="13" fillId="0" borderId="0" xfId="0" applyNumberFormat="1" applyFont="1" applyFill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vertical="center"/>
    </xf>
    <xf numFmtId="0" fontId="15" fillId="0" borderId="8" xfId="0" quotePrefix="1" applyFont="1" applyBorder="1" applyAlignment="1" applyProtection="1">
      <alignment horizontal="left" vertical="center"/>
    </xf>
    <xf numFmtId="0" fontId="12" fillId="0" borderId="8" xfId="0" quotePrefix="1" applyFont="1" applyFill="1" applyBorder="1" applyAlignment="1" applyProtection="1">
      <alignment horizontal="center" vertical="center"/>
    </xf>
    <xf numFmtId="167" fontId="13" fillId="0" borderId="8" xfId="0" quotePrefix="1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/>
    </xf>
    <xf numFmtId="0" fontId="15" fillId="0" borderId="10" xfId="0" quotePrefix="1" applyFont="1" applyBorder="1" applyAlignment="1" applyProtection="1">
      <alignment horizontal="left" vertical="center"/>
    </xf>
    <xf numFmtId="0" fontId="15" fillId="0" borderId="0" xfId="0" quotePrefix="1" applyFont="1" applyBorder="1" applyAlignment="1" applyProtection="1">
      <alignment horizontal="left" vertical="center"/>
    </xf>
    <xf numFmtId="164" fontId="13" fillId="0" borderId="0" xfId="0" quotePrefix="1" applyNumberFormat="1" applyFont="1" applyFill="1" applyBorder="1" applyAlignment="1" applyProtection="1">
      <alignment horizontal="center" vertical="center" wrapText="1"/>
    </xf>
    <xf numFmtId="164" fontId="13" fillId="0" borderId="11" xfId="0" quotePrefix="1" applyNumberFormat="1" applyFont="1" applyFill="1" applyBorder="1" applyAlignment="1" applyProtection="1">
      <alignment horizontal="center" vertical="center"/>
    </xf>
    <xf numFmtId="164" fontId="13" fillId="0" borderId="0" xfId="0" quotePrefix="1" applyNumberFormat="1" applyFont="1" applyFill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vertical="center"/>
    </xf>
    <xf numFmtId="0" fontId="15" fillId="0" borderId="1" xfId="0" quotePrefix="1" applyFont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center" vertical="center"/>
    </xf>
    <xf numFmtId="164" fontId="1" fillId="0" borderId="1" xfId="0" quotePrefix="1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14" fillId="0" borderId="0" xfId="0" quotePrefix="1" applyFont="1" applyFill="1" applyBorder="1" applyAlignment="1" applyProtection="1">
      <alignment horizontal="left"/>
    </xf>
    <xf numFmtId="0" fontId="10" fillId="0" borderId="0" xfId="0" applyFont="1" applyFill="1" applyBorder="1" applyProtection="1"/>
    <xf numFmtId="0" fontId="10" fillId="0" borderId="0" xfId="0" quotePrefix="1" applyFont="1" applyFill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0" fontId="0" fillId="0" borderId="0" xfId="0" applyBorder="1" applyProtection="1"/>
    <xf numFmtId="165" fontId="0" fillId="0" borderId="0" xfId="2" applyNumberFormat="1" applyFont="1" applyBorder="1" applyProtection="1"/>
    <xf numFmtId="0" fontId="0" fillId="0" borderId="0" xfId="0" quotePrefix="1" applyBorder="1" applyAlignment="1" applyProtection="1">
      <alignment horizontal="left"/>
    </xf>
    <xf numFmtId="0" fontId="0" fillId="0" borderId="0" xfId="0" applyBorder="1" applyAlignment="1" applyProtection="1">
      <alignment horizontal="center" vertical="center"/>
    </xf>
    <xf numFmtId="0" fontId="0" fillId="0" borderId="0" xfId="0" quotePrefix="1" applyBorder="1" applyAlignment="1" applyProtection="1">
      <alignment horizontal="center" vertical="center"/>
    </xf>
    <xf numFmtId="0" fontId="3" fillId="0" borderId="12" xfId="0" quotePrefix="1" applyFont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165" fontId="0" fillId="0" borderId="0" xfId="0" applyNumberFormat="1" applyProtection="1"/>
    <xf numFmtId="0" fontId="0" fillId="0" borderId="10" xfId="0" applyBorder="1" applyProtection="1"/>
    <xf numFmtId="165" fontId="0" fillId="0" borderId="16" xfId="2" applyNumberFormat="1" applyFont="1" applyBorder="1" applyProtection="1"/>
    <xf numFmtId="165" fontId="0" fillId="0" borderId="17" xfId="2" applyNumberFormat="1" applyFont="1" applyBorder="1" applyProtection="1"/>
    <xf numFmtId="0" fontId="0" fillId="0" borderId="10" xfId="0" quotePrefix="1" applyBorder="1" applyAlignment="1" applyProtection="1">
      <alignment horizontal="left"/>
    </xf>
    <xf numFmtId="43" fontId="0" fillId="0" borderId="0" xfId="0" applyNumberFormat="1" applyBorder="1" applyProtection="1"/>
    <xf numFmtId="0" fontId="0" fillId="0" borderId="18" xfId="0" applyBorder="1" applyProtection="1"/>
    <xf numFmtId="0" fontId="9" fillId="3" borderId="19" xfId="0" quotePrefix="1" applyFont="1" applyFill="1" applyBorder="1" applyAlignment="1" applyProtection="1">
      <alignment horizontal="left" vertical="center" wrapText="1"/>
    </xf>
    <xf numFmtId="165" fontId="0" fillId="3" borderId="20" xfId="2" applyNumberFormat="1" applyFont="1" applyFill="1" applyBorder="1" applyAlignment="1" applyProtection="1">
      <alignment vertical="center"/>
    </xf>
    <xf numFmtId="165" fontId="0" fillId="3" borderId="21" xfId="2" applyNumberFormat="1" applyFont="1" applyFill="1" applyBorder="1" applyAlignment="1" applyProtection="1">
      <alignment vertical="center"/>
    </xf>
    <xf numFmtId="165" fontId="3" fillId="3" borderId="22" xfId="2" applyNumberFormat="1" applyFont="1" applyFill="1" applyBorder="1" applyAlignment="1" applyProtection="1">
      <alignment vertical="center"/>
    </xf>
    <xf numFmtId="0" fontId="0" fillId="0" borderId="23" xfId="0" quotePrefix="1" applyBorder="1" applyAlignment="1" applyProtection="1">
      <alignment horizontal="left"/>
    </xf>
    <xf numFmtId="0" fontId="0" fillId="0" borderId="24" xfId="0" applyBorder="1" applyProtection="1"/>
    <xf numFmtId="0" fontId="0" fillId="0" borderId="25" xfId="0" applyBorder="1" applyProtection="1"/>
    <xf numFmtId="0" fontId="9" fillId="0" borderId="19" xfId="0" quotePrefix="1" applyFont="1" applyFill="1" applyBorder="1" applyAlignment="1" applyProtection="1">
      <alignment horizontal="left" vertical="center" wrapText="1"/>
    </xf>
    <xf numFmtId="165" fontId="0" fillId="0" borderId="20" xfId="2" applyNumberFormat="1" applyFont="1" applyFill="1" applyBorder="1" applyAlignment="1" applyProtection="1">
      <alignment vertical="center"/>
    </xf>
    <xf numFmtId="165" fontId="0" fillId="0" borderId="21" xfId="2" applyNumberFormat="1" applyFont="1" applyFill="1" applyBorder="1" applyAlignment="1" applyProtection="1">
      <alignment vertical="center"/>
    </xf>
    <xf numFmtId="165" fontId="3" fillId="0" borderId="22" xfId="2" applyNumberFormat="1" applyFont="1" applyFill="1" applyBorder="1" applyAlignment="1" applyProtection="1">
      <alignment vertical="center"/>
    </xf>
    <xf numFmtId="0" fontId="9" fillId="0" borderId="5" xfId="0" quotePrefix="1" applyFont="1" applyBorder="1" applyAlignment="1" applyProtection="1">
      <alignment horizontal="center" vertical="center" wrapText="1"/>
    </xf>
    <xf numFmtId="165" fontId="0" fillId="0" borderId="26" xfId="2" applyNumberFormat="1" applyFont="1" applyBorder="1" applyAlignment="1" applyProtection="1">
      <alignment vertical="center"/>
    </xf>
    <xf numFmtId="165" fontId="0" fillId="0" borderId="27" xfId="2" applyNumberFormat="1" applyFont="1" applyBorder="1" applyAlignment="1" applyProtection="1">
      <alignment vertical="center"/>
    </xf>
    <xf numFmtId="165" fontId="0" fillId="0" borderId="28" xfId="2" applyNumberFormat="1" applyFont="1" applyBorder="1" applyAlignment="1" applyProtection="1">
      <alignment vertical="center"/>
    </xf>
    <xf numFmtId="0" fontId="0" fillId="0" borderId="35" xfId="0" applyBorder="1" applyProtection="1"/>
    <xf numFmtId="0" fontId="0" fillId="0" borderId="36" xfId="0" applyBorder="1" applyProtection="1"/>
    <xf numFmtId="0" fontId="0" fillId="0" borderId="35" xfId="0" pivotButton="1" applyBorder="1" applyProtection="1"/>
    <xf numFmtId="0" fontId="0" fillId="0" borderId="37" xfId="0" applyBorder="1" applyProtection="1"/>
    <xf numFmtId="17" fontId="0" fillId="0" borderId="35" xfId="0" applyNumberFormat="1" applyBorder="1" applyProtection="1"/>
    <xf numFmtId="17" fontId="0" fillId="0" borderId="38" xfId="0" applyNumberFormat="1" applyBorder="1" applyProtection="1"/>
    <xf numFmtId="17" fontId="0" fillId="0" borderId="39" xfId="0" applyNumberFormat="1" applyBorder="1" applyProtection="1"/>
    <xf numFmtId="166" fontId="0" fillId="0" borderId="35" xfId="0" applyNumberFormat="1" applyBorder="1" applyProtection="1"/>
    <xf numFmtId="166" fontId="0" fillId="0" borderId="38" xfId="0" applyNumberFormat="1" applyBorder="1" applyProtection="1"/>
    <xf numFmtId="166" fontId="0" fillId="0" borderId="39" xfId="0" applyNumberFormat="1" applyBorder="1" applyProtection="1"/>
    <xf numFmtId="0" fontId="0" fillId="0" borderId="40" xfId="0" applyBorder="1" applyProtection="1"/>
    <xf numFmtId="166" fontId="0" fillId="0" borderId="40" xfId="0" applyNumberFormat="1" applyBorder="1" applyProtection="1"/>
    <xf numFmtId="166" fontId="0" fillId="0" borderId="0" xfId="0" applyNumberFormat="1" applyProtection="1"/>
    <xf numFmtId="166" fontId="0" fillId="0" borderId="41" xfId="0" applyNumberFormat="1" applyBorder="1" applyProtection="1"/>
    <xf numFmtId="0" fontId="0" fillId="0" borderId="42" xfId="0" applyBorder="1" applyProtection="1"/>
    <xf numFmtId="166" fontId="0" fillId="0" borderId="42" xfId="0" applyNumberFormat="1" applyBorder="1" applyProtection="1"/>
    <xf numFmtId="166" fontId="0" fillId="0" borderId="43" xfId="0" applyNumberFormat="1" applyBorder="1" applyProtection="1"/>
    <xf numFmtId="166" fontId="0" fillId="0" borderId="44" xfId="0" applyNumberFormat="1" applyBorder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164" fontId="4" fillId="0" borderId="2" xfId="0" applyNumberFormat="1" applyFont="1" applyBorder="1" applyAlignment="1" applyProtection="1">
      <alignment horizontal="center"/>
    </xf>
    <xf numFmtId="164" fontId="4" fillId="0" borderId="3" xfId="0" applyNumberFormat="1" applyFont="1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164" fontId="9" fillId="0" borderId="14" xfId="0" applyNumberFormat="1" applyFont="1" applyBorder="1" applyAlignment="1" applyProtection="1">
      <alignment horizontal="center" wrapText="1"/>
    </xf>
    <xf numFmtId="164" fontId="4" fillId="0" borderId="14" xfId="0" applyNumberFormat="1" applyFont="1" applyBorder="1" applyAlignment="1" applyProtection="1">
      <alignment horizontal="center" wrapText="1"/>
    </xf>
    <xf numFmtId="0" fontId="0" fillId="0" borderId="29" xfId="0" applyBorder="1" applyProtection="1"/>
    <xf numFmtId="0" fontId="21" fillId="6" borderId="0" xfId="0" applyFont="1" applyFill="1" applyProtection="1"/>
    <xf numFmtId="0" fontId="0" fillId="0" borderId="1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167" fontId="7" fillId="6" borderId="0" xfId="0" applyNumberFormat="1" applyFont="1" applyFill="1" applyBorder="1" applyAlignment="1" applyProtection="1">
      <alignment horizontal="right"/>
    </xf>
    <xf numFmtId="10" fontId="24" fillId="0" borderId="0" xfId="4" quotePrefix="1" applyNumberFormat="1" applyFont="1" applyBorder="1" applyAlignment="1" applyProtection="1">
      <alignment horizontal="left"/>
    </xf>
    <xf numFmtId="0" fontId="0" fillId="0" borderId="11" xfId="0" applyBorder="1" applyProtection="1"/>
    <xf numFmtId="164" fontId="7" fillId="6" borderId="0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0" fillId="0" borderId="11" xfId="0" applyBorder="1" applyAlignment="1" applyProtection="1">
      <alignment horizontal="center"/>
    </xf>
    <xf numFmtId="168" fontId="0" fillId="0" borderId="11" xfId="4" applyNumberFormat="1" applyFont="1" applyBorder="1" applyAlignment="1" applyProtection="1">
      <alignment horizontal="center"/>
    </xf>
    <xf numFmtId="168" fontId="0" fillId="0" borderId="0" xfId="4" applyNumberFormat="1" applyFont="1" applyBorder="1" applyAlignment="1" applyProtection="1">
      <alignment horizontal="center"/>
    </xf>
    <xf numFmtId="0" fontId="0" fillId="0" borderId="30" xfId="0" applyBorder="1" applyProtection="1"/>
    <xf numFmtId="164" fontId="4" fillId="0" borderId="10" xfId="0" applyNumberFormat="1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Continuous"/>
    </xf>
    <xf numFmtId="164" fontId="19" fillId="0" borderId="0" xfId="0" applyNumberFormat="1" applyFont="1" applyBorder="1" applyAlignment="1" applyProtection="1">
      <alignment horizontal="center" wrapText="1"/>
    </xf>
    <xf numFmtId="164" fontId="4" fillId="0" borderId="0" xfId="0" quotePrefix="1" applyNumberFormat="1" applyFont="1" applyBorder="1" applyAlignment="1" applyProtection="1">
      <alignment horizontal="center" wrapText="1"/>
    </xf>
    <xf numFmtId="167" fontId="1" fillId="0" borderId="0" xfId="0" applyNumberFormat="1" applyFont="1" applyFill="1" applyBorder="1" applyAlignment="1" applyProtection="1">
      <alignment horizontal="right"/>
    </xf>
    <xf numFmtId="168" fontId="0" fillId="0" borderId="11" xfId="0" applyNumberFormat="1" applyBorder="1" applyProtection="1"/>
    <xf numFmtId="168" fontId="0" fillId="0" borderId="0" xfId="0" applyNumberFormat="1" applyBorder="1" applyProtection="1"/>
    <xf numFmtId="164" fontId="1" fillId="0" borderId="0" xfId="0" applyNumberFormat="1" applyFont="1" applyFill="1" applyBorder="1" applyAlignment="1" applyProtection="1">
      <alignment horizontal="right"/>
    </xf>
    <xf numFmtId="0" fontId="1" fillId="0" borderId="0" xfId="0" quotePrefix="1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164" fontId="20" fillId="0" borderId="0" xfId="0" quotePrefix="1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0" fillId="0" borderId="0" xfId="0" quotePrefix="1" applyFill="1" applyBorder="1" applyAlignment="1" applyProtection="1">
      <alignment horizontal="center"/>
    </xf>
    <xf numFmtId="164" fontId="6" fillId="0" borderId="0" xfId="0" applyNumberFormat="1" applyFont="1" applyAlignment="1" applyProtection="1">
      <alignment horizontal="left"/>
    </xf>
    <xf numFmtId="0" fontId="0" fillId="0" borderId="5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164" fontId="20" fillId="0" borderId="1" xfId="0" quotePrefix="1" applyNumberFormat="1" applyFont="1" applyFill="1" applyBorder="1" applyAlignment="1" applyProtection="1">
      <alignment horizontal="left"/>
    </xf>
    <xf numFmtId="164" fontId="1" fillId="0" borderId="1" xfId="0" applyNumberFormat="1" applyFont="1" applyFill="1" applyBorder="1" applyAlignment="1" applyProtection="1">
      <alignment horizontal="right"/>
    </xf>
    <xf numFmtId="10" fontId="1" fillId="0" borderId="1" xfId="4" quotePrefix="1" applyNumberFormat="1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30" xfId="0" applyBorder="1" applyAlignment="1" applyProtection="1">
      <alignment horizontal="center"/>
    </xf>
    <xf numFmtId="0" fontId="11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right"/>
    </xf>
    <xf numFmtId="10" fontId="0" fillId="0" borderId="0" xfId="4" applyNumberFormat="1" applyFont="1" applyAlignment="1" applyProtection="1">
      <alignment horizontal="center"/>
    </xf>
    <xf numFmtId="0" fontId="0" fillId="0" borderId="30" xfId="0" quotePrefix="1" applyBorder="1" applyAlignment="1" applyProtection="1">
      <alignment horizontal="right"/>
    </xf>
    <xf numFmtId="0" fontId="0" fillId="0" borderId="21" xfId="0" applyBorder="1" applyAlignment="1" applyProtection="1">
      <alignment horizontal="center"/>
    </xf>
    <xf numFmtId="0" fontId="1" fillId="0" borderId="21" xfId="0" applyFont="1" applyFill="1" applyBorder="1" applyAlignment="1" applyProtection="1">
      <alignment horizontal="center"/>
    </xf>
    <xf numFmtId="164" fontId="3" fillId="0" borderId="31" xfId="0" applyNumberFormat="1" applyFont="1" applyBorder="1" applyAlignment="1" applyProtection="1">
      <alignment horizontal="right"/>
    </xf>
    <xf numFmtId="167" fontId="0" fillId="0" borderId="21" xfId="0" applyNumberFormat="1" applyBorder="1" applyAlignment="1" applyProtection="1">
      <alignment horizontal="center"/>
    </xf>
    <xf numFmtId="167" fontId="0" fillId="4" borderId="31" xfId="0" applyNumberFormat="1" applyFill="1" applyBorder="1" applyAlignment="1" applyProtection="1">
      <alignment horizontal="center"/>
    </xf>
    <xf numFmtId="167" fontId="0" fillId="0" borderId="32" xfId="0" applyNumberForma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164" fontId="3" fillId="0" borderId="25" xfId="0" applyNumberFormat="1" applyFont="1" applyBorder="1" applyAlignment="1" applyProtection="1">
      <alignment horizontal="right"/>
    </xf>
    <xf numFmtId="14" fontId="1" fillId="0" borderId="16" xfId="0" quotePrefix="1" applyNumberFormat="1" applyFont="1" applyFill="1" applyBorder="1" applyAlignment="1" applyProtection="1">
      <alignment horizontal="left"/>
    </xf>
    <xf numFmtId="164" fontId="5" fillId="0" borderId="0" xfId="0" applyNumberFormat="1" applyFont="1" applyBorder="1" applyAlignment="1" applyProtection="1">
      <alignment horizontal="center"/>
    </xf>
    <xf numFmtId="164" fontId="5" fillId="0" borderId="30" xfId="0" applyNumberFormat="1" applyFont="1" applyBorder="1" applyAlignment="1" applyProtection="1">
      <alignment horizontal="right"/>
    </xf>
    <xf numFmtId="0" fontId="1" fillId="0" borderId="0" xfId="0" quotePrefix="1" applyFont="1" applyAlignment="1" applyProtection="1">
      <alignment horizontal="left"/>
    </xf>
    <xf numFmtId="166" fontId="1" fillId="0" borderId="0" xfId="1" applyNumberFormat="1" applyFont="1" applyFill="1" applyAlignment="1" applyProtection="1">
      <alignment horizontal="right"/>
    </xf>
    <xf numFmtId="166" fontId="1" fillId="0" borderId="0" xfId="1" quotePrefix="1" applyNumberFormat="1" applyFont="1" applyFill="1" applyAlignment="1" applyProtection="1">
      <alignment horizontal="left"/>
    </xf>
    <xf numFmtId="164" fontId="5" fillId="0" borderId="30" xfId="0" applyNumberFormat="1" applyFont="1" applyBorder="1" applyAlignment="1" applyProtection="1">
      <alignment horizontal="center"/>
    </xf>
    <xf numFmtId="14" fontId="0" fillId="0" borderId="16" xfId="0" quotePrefix="1" applyNumberFormat="1" applyFill="1" applyBorder="1" applyAlignment="1" applyProtection="1">
      <alignment horizontal="left"/>
    </xf>
    <xf numFmtId="44" fontId="5" fillId="0" borderId="0" xfId="2" applyNumberFormat="1" applyFont="1" applyAlignment="1" applyProtection="1">
      <alignment horizontal="center"/>
    </xf>
    <xf numFmtId="9" fontId="1" fillId="0" borderId="0" xfId="4" applyFont="1" applyAlignment="1" applyProtection="1">
      <alignment horizontal="center"/>
    </xf>
    <xf numFmtId="44" fontId="5" fillId="0" borderId="0" xfId="2" applyFont="1" applyAlignment="1" applyProtection="1">
      <alignment horizontal="center"/>
    </xf>
    <xf numFmtId="44" fontId="5" fillId="0" borderId="30" xfId="2" applyFont="1" applyBorder="1" applyAlignment="1" applyProtection="1">
      <alignment horizontal="center"/>
    </xf>
    <xf numFmtId="165" fontId="1" fillId="0" borderId="0" xfId="2" applyNumberFormat="1" applyFont="1" applyAlignment="1" applyProtection="1">
      <alignment horizontal="center"/>
    </xf>
    <xf numFmtId="0" fontId="4" fillId="0" borderId="0" xfId="0" quotePrefix="1" applyFont="1" applyBorder="1" applyAlignment="1" applyProtection="1">
      <alignment horizontal="center"/>
    </xf>
    <xf numFmtId="0" fontId="4" fillId="0" borderId="33" xfId="0" quotePrefix="1" applyFont="1" applyBorder="1" applyAlignment="1" applyProtection="1">
      <alignment horizontal="center"/>
    </xf>
    <xf numFmtId="164" fontId="4" fillId="0" borderId="20" xfId="0" quotePrefix="1" applyNumberFormat="1" applyFont="1" applyBorder="1" applyAlignment="1" applyProtection="1">
      <alignment horizontal="center" vertical="center" wrapText="1"/>
    </xf>
    <xf numFmtId="0" fontId="4" fillId="0" borderId="21" xfId="0" quotePrefix="1" applyFont="1" applyBorder="1" applyAlignment="1" applyProtection="1">
      <alignment horizontal="center" vertical="center" wrapText="1"/>
    </xf>
    <xf numFmtId="164" fontId="4" fillId="5" borderId="21" xfId="0" quotePrefix="1" applyNumberFormat="1" applyFont="1" applyFill="1" applyBorder="1" applyAlignment="1" applyProtection="1">
      <alignment horizontal="center" vertical="center" wrapText="1"/>
    </xf>
    <xf numFmtId="164" fontId="4" fillId="0" borderId="21" xfId="0" applyNumberFormat="1" applyFont="1" applyBorder="1" applyAlignment="1" applyProtection="1">
      <alignment horizontal="center" vertical="center" wrapText="1"/>
    </xf>
    <xf numFmtId="164" fontId="4" fillId="0" borderId="32" xfId="0" applyNumberFormat="1" applyFont="1" applyBorder="1" applyAlignment="1" applyProtection="1">
      <alignment horizontal="center" vertical="center" wrapText="1"/>
    </xf>
    <xf numFmtId="164" fontId="4" fillId="0" borderId="33" xfId="0" applyNumberFormat="1" applyFont="1" applyBorder="1" applyAlignment="1" applyProtection="1">
      <alignment horizontal="center" vertical="center" wrapText="1"/>
    </xf>
    <xf numFmtId="164" fontId="4" fillId="0" borderId="25" xfId="0" applyNumberFormat="1" applyFont="1" applyBorder="1" applyAlignment="1" applyProtection="1">
      <alignment horizontal="center" vertical="center" wrapText="1"/>
    </xf>
    <xf numFmtId="17" fontId="0" fillId="0" borderId="0" xfId="0" applyNumberFormat="1" applyBorder="1" applyAlignment="1" applyProtection="1">
      <alignment horizontal="center"/>
    </xf>
    <xf numFmtId="14" fontId="7" fillId="2" borderId="0" xfId="0" applyNumberFormat="1" applyFont="1" applyFill="1" applyBorder="1" applyAlignment="1" applyProtection="1">
      <alignment horizontal="left"/>
    </xf>
    <xf numFmtId="1" fontId="8" fillId="6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Border="1" applyProtection="1"/>
    <xf numFmtId="164" fontId="1" fillId="0" borderId="0" xfId="0" applyNumberFormat="1" applyFont="1" applyAlignment="1" applyProtection="1">
      <alignment horizontal="right"/>
    </xf>
    <xf numFmtId="164" fontId="0" fillId="0" borderId="0" xfId="0" applyNumberFormat="1" applyBorder="1" applyAlignment="1" applyProtection="1"/>
    <xf numFmtId="164" fontId="1" fillId="0" borderId="0" xfId="0" applyNumberFormat="1" applyFont="1" applyAlignment="1" applyProtection="1"/>
    <xf numFmtId="164" fontId="1" fillId="0" borderId="0" xfId="0" applyNumberFormat="1" applyFont="1" applyBorder="1" applyAlignment="1" applyProtection="1">
      <alignment horizontal="right"/>
    </xf>
    <xf numFmtId="164" fontId="0" fillId="0" borderId="24" xfId="0" applyNumberFormat="1" applyBorder="1" applyAlignment="1" applyProtection="1">
      <alignment horizontal="right"/>
    </xf>
    <xf numFmtId="14" fontId="0" fillId="0" borderId="0" xfId="0" quotePrefix="1" applyNumberFormat="1" applyBorder="1" applyAlignment="1" applyProtection="1">
      <alignment horizontal="left"/>
    </xf>
    <xf numFmtId="164" fontId="1" fillId="0" borderId="0" xfId="0" applyNumberFormat="1" applyFont="1" applyFill="1" applyBorder="1" applyAlignment="1" applyProtection="1"/>
    <xf numFmtId="164" fontId="0" fillId="0" borderId="0" xfId="0" applyNumberFormat="1" applyFill="1" applyBorder="1" applyAlignment="1" applyProtection="1"/>
    <xf numFmtId="164" fontId="6" fillId="0" borderId="8" xfId="0" applyNumberFormat="1" applyFont="1" applyBorder="1" applyProtection="1"/>
    <xf numFmtId="164" fontId="1" fillId="0" borderId="8" xfId="0" applyNumberFormat="1" applyFont="1" applyBorder="1" applyAlignment="1" applyProtection="1">
      <alignment horizontal="right"/>
    </xf>
    <xf numFmtId="164" fontId="0" fillId="0" borderId="8" xfId="0" applyNumberFormat="1" applyFill="1" applyBorder="1" applyAlignment="1" applyProtection="1"/>
    <xf numFmtId="164" fontId="1" fillId="0" borderId="8" xfId="0" applyNumberFormat="1" applyFont="1" applyFill="1" applyBorder="1" applyAlignment="1" applyProtection="1"/>
    <xf numFmtId="17" fontId="0" fillId="0" borderId="34" xfId="0" applyNumberFormat="1" applyBorder="1" applyAlignment="1" applyProtection="1">
      <alignment horizontal="center"/>
    </xf>
    <xf numFmtId="14" fontId="1" fillId="0" borderId="34" xfId="0" applyNumberFormat="1" applyFont="1" applyFill="1" applyBorder="1" applyProtection="1"/>
    <xf numFmtId="14" fontId="7" fillId="2" borderId="34" xfId="0" applyNumberFormat="1" applyFont="1" applyFill="1" applyBorder="1" applyAlignment="1" applyProtection="1">
      <alignment horizontal="left"/>
    </xf>
    <xf numFmtId="0" fontId="0" fillId="0" borderId="34" xfId="0" applyBorder="1" applyAlignment="1" applyProtection="1">
      <alignment horizontal="center"/>
    </xf>
    <xf numFmtId="14" fontId="1" fillId="0" borderId="0" xfId="0" applyNumberFormat="1" applyFont="1" applyFill="1" applyBorder="1" applyProtection="1"/>
    <xf numFmtId="0" fontId="0" fillId="0" borderId="34" xfId="0" applyBorder="1" applyProtection="1"/>
    <xf numFmtId="17" fontId="0" fillId="0" borderId="8" xfId="0" applyNumberFormat="1" applyBorder="1" applyAlignment="1" applyProtection="1">
      <alignment horizontal="center"/>
    </xf>
    <xf numFmtId="0" fontId="0" fillId="0" borderId="8" xfId="0" quotePrefix="1" applyBorder="1" applyAlignment="1" applyProtection="1">
      <alignment horizontal="left"/>
    </xf>
    <xf numFmtId="0" fontId="0" fillId="0" borderId="8" xfId="0" applyBorder="1" applyProtection="1"/>
    <xf numFmtId="14" fontId="1" fillId="0" borderId="8" xfId="0" applyNumberFormat="1" applyFont="1" applyFill="1" applyBorder="1" applyProtection="1"/>
    <xf numFmtId="14" fontId="0" fillId="0" borderId="8" xfId="0" quotePrefix="1" applyNumberFormat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8" xfId="0" applyFont="1" applyFill="1" applyBorder="1" applyAlignment="1" applyProtection="1">
      <alignment horizontal="left"/>
    </xf>
    <xf numFmtId="1" fontId="0" fillId="0" borderId="0" xfId="0" applyNumberFormat="1" applyAlignment="1" applyProtection="1">
      <alignment horizontal="center"/>
    </xf>
    <xf numFmtId="164" fontId="0" fillId="0" borderId="24" xfId="0" applyNumberFormat="1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0" fontId="0" fillId="0" borderId="45" xfId="0" applyBorder="1" applyProtection="1"/>
    <xf numFmtId="0" fontId="0" fillId="0" borderId="46" xfId="0" applyBorder="1" applyProtection="1"/>
    <xf numFmtId="167" fontId="0" fillId="0" borderId="0" xfId="0" applyNumberFormat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  <xf numFmtId="167" fontId="7" fillId="6" borderId="31" xfId="0" applyNumberFormat="1" applyFont="1" applyFill="1" applyBorder="1" applyAlignment="1" applyProtection="1">
      <alignment horizontal="center"/>
    </xf>
    <xf numFmtId="164" fontId="4" fillId="0" borderId="14" xfId="0" quotePrefix="1" applyNumberFormat="1" applyFont="1" applyFill="1" applyBorder="1" applyAlignment="1" applyProtection="1">
      <alignment horizontal="center" wrapText="1"/>
    </xf>
    <xf numFmtId="0" fontId="4" fillId="0" borderId="21" xfId="0" applyFont="1" applyFill="1" applyBorder="1" applyAlignment="1" applyProtection="1">
      <alignment horizontal="left" vertical="center"/>
    </xf>
    <xf numFmtId="0" fontId="4" fillId="0" borderId="21" xfId="0" quotePrefix="1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14" fontId="7" fillId="6" borderId="0" xfId="3" applyNumberFormat="1" applyFont="1" applyFill="1"/>
    <xf numFmtId="14" fontId="7" fillId="2" borderId="8" xfId="3" applyNumberFormat="1" applyFont="1" applyFill="1" applyBorder="1"/>
    <xf numFmtId="14" fontId="7" fillId="6" borderId="8" xfId="3" applyNumberFormat="1" applyFont="1" applyFill="1" applyBorder="1"/>
    <xf numFmtId="10" fontId="24" fillId="0" borderId="0" xfId="4" quotePrefix="1" applyNumberFormat="1" applyFont="1" applyFill="1" applyBorder="1" applyAlignment="1" applyProtection="1">
      <alignment horizontal="left"/>
    </xf>
    <xf numFmtId="164" fontId="5" fillId="0" borderId="0" xfId="0" applyNumberFormat="1" applyFont="1" applyFill="1" applyBorder="1" applyAlignment="1" applyProtection="1">
      <alignment horizontal="center"/>
    </xf>
    <xf numFmtId="164" fontId="4" fillId="0" borderId="21" xfId="0" quotePrefix="1" applyNumberFormat="1" applyFont="1" applyFill="1" applyBorder="1" applyAlignment="1" applyProtection="1">
      <alignment horizontal="center" vertical="center" wrapText="1"/>
    </xf>
    <xf numFmtId="0" fontId="1" fillId="0" borderId="0" xfId="5"/>
    <xf numFmtId="37" fontId="0" fillId="0" borderId="0" xfId="6" applyNumberFormat="1" applyFont="1"/>
    <xf numFmtId="37" fontId="1" fillId="0" borderId="0" xfId="5" applyNumberFormat="1"/>
    <xf numFmtId="0" fontId="1" fillId="0" borderId="47" xfId="5" applyBorder="1"/>
    <xf numFmtId="168" fontId="0" fillId="0" borderId="0" xfId="7" applyNumberFormat="1" applyFont="1" applyBorder="1" applyAlignment="1" applyProtection="1">
      <alignment horizontal="left"/>
    </xf>
    <xf numFmtId="0" fontId="1" fillId="0" borderId="48" xfId="5" quotePrefix="1" applyBorder="1" applyAlignment="1">
      <alignment horizontal="left"/>
    </xf>
    <xf numFmtId="168" fontId="0" fillId="0" borderId="0" xfId="7" quotePrefix="1" applyNumberFormat="1" applyFont="1" applyBorder="1" applyAlignment="1" applyProtection="1">
      <alignment horizontal="left"/>
    </xf>
    <xf numFmtId="0" fontId="1" fillId="0" borderId="48" xfId="5" applyBorder="1"/>
    <xf numFmtId="0" fontId="1" fillId="0" borderId="49" xfId="5" applyBorder="1"/>
    <xf numFmtId="0" fontId="9" fillId="3" borderId="50" xfId="5" quotePrefix="1" applyFont="1" applyFill="1" applyBorder="1" applyAlignment="1">
      <alignment horizontal="left" vertical="center" wrapText="1"/>
    </xf>
    <xf numFmtId="168" fontId="9" fillId="3" borderId="0" xfId="7" quotePrefix="1" applyNumberFormat="1" applyFont="1" applyFill="1" applyBorder="1" applyAlignment="1" applyProtection="1">
      <alignment horizontal="left" vertical="center" wrapText="1"/>
    </xf>
    <xf numFmtId="37" fontId="9" fillId="3" borderId="0" xfId="7" quotePrefix="1" applyNumberFormat="1" applyFont="1" applyFill="1" applyBorder="1" applyAlignment="1" applyProtection="1">
      <alignment vertical="center" wrapText="1"/>
    </xf>
    <xf numFmtId="0" fontId="1" fillId="0" borderId="51" xfId="5" quotePrefix="1" applyBorder="1" applyAlignment="1">
      <alignment horizontal="left"/>
    </xf>
    <xf numFmtId="0" fontId="9" fillId="3" borderId="21" xfId="5" quotePrefix="1" applyFont="1" applyFill="1" applyBorder="1" applyAlignment="1">
      <alignment horizontal="left" vertical="center" wrapText="1"/>
    </xf>
    <xf numFmtId="37" fontId="9" fillId="3" borderId="21" xfId="5" quotePrefix="1" applyNumberFormat="1" applyFont="1" applyFill="1" applyBorder="1" applyAlignment="1">
      <alignment vertical="center" wrapText="1"/>
    </xf>
    <xf numFmtId="0" fontId="9" fillId="0" borderId="52" xfId="5" quotePrefix="1" applyFont="1" applyBorder="1" applyAlignment="1">
      <alignment horizontal="center" vertical="center" wrapText="1"/>
    </xf>
    <xf numFmtId="0" fontId="9" fillId="0" borderId="0" xfId="5" quotePrefix="1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66" fontId="25" fillId="0" borderId="40" xfId="0" applyNumberFormat="1" applyFont="1" applyBorder="1" applyProtection="1"/>
    <xf numFmtId="166" fontId="25" fillId="0" borderId="0" xfId="0" applyNumberFormat="1" applyFont="1" applyProtection="1"/>
    <xf numFmtId="166" fontId="25" fillId="0" borderId="41" xfId="0" applyNumberFormat="1" applyFont="1" applyBorder="1" applyProtection="1"/>
    <xf numFmtId="166" fontId="25" fillId="0" borderId="35" xfId="0" applyNumberFormat="1" applyFont="1" applyBorder="1" applyProtection="1"/>
    <xf numFmtId="166" fontId="25" fillId="0" borderId="38" xfId="0" applyNumberFormat="1" applyFont="1" applyBorder="1" applyProtection="1"/>
    <xf numFmtId="166" fontId="25" fillId="0" borderId="39" xfId="0" applyNumberFormat="1" applyFont="1" applyBorder="1" applyProtection="1"/>
    <xf numFmtId="0" fontId="0" fillId="0" borderId="0" xfId="0" applyAlignment="1">
      <alignment horizontal="center" wrapText="1"/>
    </xf>
    <xf numFmtId="0" fontId="3" fillId="0" borderId="0" xfId="0" quotePrefix="1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</cellXfs>
  <cellStyles count="8">
    <cellStyle name="Comma" xfId="1" builtinId="3"/>
    <cellStyle name="Comma 2" xfId="6" xr:uid="{2BD488E5-ADB3-4394-B391-B0BC59D2BF86}"/>
    <cellStyle name="Currency" xfId="2" builtinId="4"/>
    <cellStyle name="Normal" xfId="0" builtinId="0"/>
    <cellStyle name="Normal 2" xfId="3" xr:uid="{00000000-0005-0000-0000-000003000000}"/>
    <cellStyle name="Normal 3" xfId="5" xr:uid="{C74A3626-3191-48C4-979D-6AA009CBD37E}"/>
    <cellStyle name="Percent" xfId="4" builtinId="5"/>
    <cellStyle name="Percent 2" xfId="7" xr:uid="{390DDF91-C7B5-48DA-8924-F3DBD600758D}"/>
  </cellStyles>
  <dxfs count="171"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numFmt numFmtId="166" formatCode="_(* #,##0_);_(* \(#,##0\);_(* &quot;-&quot;??_);_(@_)"/>
    </dxf>
    <dxf>
      <numFmt numFmtId="35" formatCode="_(* #,##0.00_);_(* \(#,##0.00\);_(* &quot;-&quot;??_);_(@_)"/>
    </dxf>
    <dxf>
      <numFmt numFmtId="2" formatCode="0.00"/>
    </dxf>
    <dxf>
      <numFmt numFmtId="2" formatCode="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</dxf>
    <dxf>
      <numFmt numFmtId="164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175747" refreshedDate="45436.308918055554" createdVersion="6" refreshedVersion="8" recordCount="192" xr:uid="{00000000-000A-0000-FFFF-FFFFA6000000}">
  <cacheSource type="worksheet">
    <worksheetSource ref="B19:R211" sheet="Transactions"/>
  </cacheSource>
  <cacheFields count="17">
    <cacheField name="Serivce Month" numFmtId="17">
      <sharedItems containsSemiMixedTypes="0" containsNonDate="0" containsDate="1" containsString="0" minDate="2010-01-01T00:00:00" maxDate="2023-12-02T00:00:00" count="168"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2-01-01T00:00:00" u="1"/>
        <d v="2022-02-01T00:00:00" u="1"/>
        <d v="2022-03-01T00:00:00" u="1"/>
        <d v="2022-04-01T00:00:00" u="1"/>
        <d v="2022-05-01T00:00:00" u="1"/>
        <d v="2022-06-01T00:00:00" u="1"/>
        <d v="2022-07-01T00:00:00" u="1"/>
        <d v="2022-08-01T00:00:00" u="1"/>
        <d v="2022-09-01T00:00:00" u="1"/>
        <d v="2022-10-01T00:00:00" u="1"/>
        <d v="2022-11-01T00:00:00" u="1"/>
        <d v="2022-12-01T00:00:00" u="1"/>
        <d v="2013-05-01T00:00:00" u="1"/>
        <d v="2014-05-01T00:00:00" u="1"/>
        <d v="2015-05-01T00:00:00" u="1"/>
        <d v="2016-05-01T00:00:00" u="1"/>
        <d v="2017-05-01T00:00:00" u="1"/>
        <d v="2018-05-01T00:00:00" u="1"/>
        <d v="2019-05-01T00:00:00" u="1"/>
        <d v="2020-05-01T00:00:00" u="1"/>
        <d v="2010-11-01T00:00:00" u="1"/>
        <d v="2021-05-01T00:00:00" u="1"/>
        <d v="2011-11-01T00:00:00" u="1"/>
        <d v="2012-11-01T00:00:00" u="1"/>
        <d v="2013-11-01T00:00:00" u="1"/>
        <d v="2014-11-01T00:00:00" u="1"/>
        <d v="2015-11-01T00:00:00" u="1"/>
        <d v="2016-11-01T00:00:00" u="1"/>
        <d v="2017-11-01T00:00:00" u="1"/>
        <d v="2018-11-01T00:00:00" u="1"/>
        <d v="2019-11-01T00:00:00" u="1"/>
        <d v="2020-11-01T00:00:00" u="1"/>
        <d v="2021-11-01T00:00:00" u="1"/>
        <d v="2010-06-01T00:00:00" u="1"/>
        <d v="2011-06-01T00:00:00" u="1"/>
        <d v="2012-06-01T00:00:00" u="1"/>
        <d v="2013-06-01T00:00:00" u="1"/>
        <d v="2014-06-01T00:00:00" u="1"/>
        <d v="2015-06-01T00:00:00" u="1"/>
        <d v="2016-06-01T00:00:00" u="1"/>
        <d v="2017-06-01T00:00:00" u="1"/>
        <d v="2018-06-01T00:00:00" u="1"/>
        <d v="2019-06-01T00:00:00" u="1"/>
        <d v="2020-06-01T00:00:00" u="1"/>
        <d v="2010-12-01T00:00:00" u="1"/>
        <d v="2021-06-01T00:00:00" u="1"/>
        <d v="2011-12-01T00:00:00" u="1"/>
        <d v="2012-12-01T00:00:00" u="1"/>
        <d v="2013-12-01T00:00:00" u="1"/>
        <d v="2014-12-01T00:00:00" u="1"/>
        <d v="2015-12-01T00:00:00" u="1"/>
        <d v="2016-12-01T00:00:00" u="1"/>
        <d v="2017-12-01T00:00:00" u="1"/>
        <d v="2018-12-01T00:00:00" u="1"/>
        <d v="2019-12-01T00:00:00" u="1"/>
        <d v="2020-12-01T00:00:00" u="1"/>
        <d v="2021-12-01T00:00:00" u="1"/>
        <d v="2010-01-01T00:00:00" u="1"/>
        <d v="2011-01-01T00:00:00" u="1"/>
        <d v="2012-01-01T00:00:00" u="1"/>
        <d v="2013-01-01T00:00:00" u="1"/>
        <d v="2014-01-01T00:00:00" u="1"/>
        <d v="2015-01-01T00:00:00" u="1"/>
        <d v="2016-01-01T00:00:00" u="1"/>
        <d v="2017-01-01T00:00:00" u="1"/>
        <d v="2018-01-01T00:00:00" u="1"/>
        <d v="2019-01-01T00:00:00" u="1"/>
        <d v="2020-01-01T00:00:00" u="1"/>
        <d v="2010-07-01T00:00:00" u="1"/>
        <d v="2021-01-01T00:00:00" u="1"/>
        <d v="2011-07-01T00:00:00" u="1"/>
        <d v="2012-07-01T00:00:00" u="1"/>
        <d v="2013-07-01T00:00:00" u="1"/>
        <d v="2014-07-01T00:00:00" u="1"/>
        <d v="2015-07-01T00:00:00" u="1"/>
        <d v="2016-07-01T00:00:00" u="1"/>
        <d v="2017-07-01T00:00:00" u="1"/>
        <d v="2018-07-01T00:00:00" u="1"/>
        <d v="2019-07-01T00:00:00" u="1"/>
        <d v="2020-07-01T00:00:00" u="1"/>
        <d v="2021-07-01T00:00:00" u="1"/>
        <d v="2010-02-01T00:00:00" u="1"/>
        <d v="2011-02-01T00:00:00" u="1"/>
        <d v="2012-02-01T00:00:00" u="1"/>
        <d v="2013-02-01T00:00:00" u="1"/>
        <d v="2014-02-01T00:00:00" u="1"/>
        <d v="2015-02-01T00:00:00" u="1"/>
        <d v="2016-02-01T00:00:00" u="1"/>
        <d v="2017-02-01T00:00:00" u="1"/>
        <d v="2018-02-01T00:00:00" u="1"/>
        <d v="2019-02-01T00:00:00" u="1"/>
        <d v="2020-02-01T00:00:00" u="1"/>
        <d v="2010-08-01T00:00:00" u="1"/>
        <d v="2021-02-01T00:00:00" u="1"/>
        <d v="2011-08-01T00:00:00" u="1"/>
        <d v="2012-08-01T00:00:00" u="1"/>
        <d v="2013-08-01T00:00:00" u="1"/>
        <d v="2014-08-01T00:00:00" u="1"/>
        <d v="2015-08-01T00:00:00" u="1"/>
        <d v="2016-08-01T00:00:00" u="1"/>
        <d v="2017-08-01T00:00:00" u="1"/>
        <d v="2018-08-01T00:00:00" u="1"/>
        <d v="2019-08-01T00:00:00" u="1"/>
        <d v="2020-08-01T00:00:00" u="1"/>
        <d v="2021-08-01T00:00:00" u="1"/>
        <d v="2010-03-01T00:00:00" u="1"/>
        <d v="2011-03-01T00:00:00" u="1"/>
        <d v="2012-03-01T00:00:00" u="1"/>
        <d v="2013-03-01T00:00:00" u="1"/>
        <d v="2014-03-01T00:00:00" u="1"/>
        <d v="2015-03-01T00:00:00" u="1"/>
        <d v="2016-03-01T00:00:00" u="1"/>
        <d v="2017-03-01T00:00:00" u="1"/>
        <d v="2018-03-01T00:00:00" u="1"/>
        <d v="2019-03-01T00:00:00" u="1"/>
        <d v="2020-03-01T00:00:00" u="1"/>
        <d v="2010-09-01T00:00:00" u="1"/>
        <d v="2021-03-01T00:00:00" u="1"/>
        <d v="2011-09-01T00:00:00" u="1"/>
        <d v="2012-09-01T00:00:00" u="1"/>
        <d v="2013-09-01T00:00:00" u="1"/>
        <d v="2014-09-01T00:00:00" u="1"/>
        <d v="2015-09-01T00:00:00" u="1"/>
        <d v="2016-09-01T00:00:00" u="1"/>
        <d v="2017-09-01T00:00:00" u="1"/>
        <d v="2018-09-01T00:00:00" u="1"/>
        <d v="2019-09-01T00:00:00" u="1"/>
        <d v="2020-09-01T00:00:00" u="1"/>
        <d v="2021-09-01T00:00:00" u="1"/>
        <d v="2010-04-01T00:00:00" u="1"/>
        <d v="2011-04-01T00:00:00" u="1"/>
        <d v="2012-04-01T00:00:00" u="1"/>
        <d v="2013-04-01T00:00:00" u="1"/>
        <d v="2014-04-01T00:00:00" u="1"/>
        <d v="2015-04-01T00:00:00" u="1"/>
        <d v="2016-04-01T00:00:00" u="1"/>
        <d v="2017-04-01T00:00:00" u="1"/>
        <d v="2018-04-01T00:00:00" u="1"/>
        <d v="2019-04-01T00:00:00" u="1"/>
        <d v="2020-04-01T00:00:00" u="1"/>
        <d v="2010-10-01T00:00:00" u="1"/>
        <d v="2021-04-01T00:00:00" u="1"/>
        <d v="2011-10-01T00:00:00" u="1"/>
        <d v="2012-10-01T00:00:00" u="1"/>
        <d v="2013-10-01T00:00:00" u="1"/>
        <d v="2014-10-01T00:00:00" u="1"/>
        <d v="2015-10-01T00:00:00" u="1"/>
        <d v="2016-10-01T00:00:00" u="1"/>
        <d v="2017-10-01T00:00:00" u="1"/>
        <d v="2018-10-01T00:00:00" u="1"/>
        <d v="2019-10-01T00:00:00" u="1"/>
        <d v="2020-10-01T00:00:00" u="1"/>
        <d v="2021-10-01T00:00:00" u="1"/>
        <d v="2010-05-01T00:00:00" u="1"/>
        <d v="2011-05-01T00:00:00" u="1"/>
        <d v="2012-05-01T00:00:00" u="1"/>
      </sharedItems>
    </cacheField>
    <cacheField name="Billing_x000a_Date*" numFmtId="14">
      <sharedItems containsSemiMixedTypes="0" containsNonDate="0" containsDate="1" containsString="0" minDate="2023-02-03T00:00:00" maxDate="2024-01-04T00:00:00"/>
    </cacheField>
    <cacheField name="Payment Received*" numFmtId="14">
      <sharedItems containsSemiMixedTypes="0" containsNonDate="0" containsDate="1" containsString="0" minDate="2023-02-24T00:00:00" maxDate="2024-01-25T00:00:00"/>
    </cacheField>
    <cacheField name="Customer" numFmtId="0">
      <sharedItems count="22">
        <s v="PSO"/>
        <s v="SWEPCO"/>
        <s v="SWEPCO-Valley"/>
        <s v="AECC"/>
        <s v="AECI"/>
        <s v="WFEC"/>
        <s v="OMPA"/>
        <s v="OG&amp;E"/>
        <s v="ETEC"/>
        <s v="Greenbelt"/>
        <s v="Lighthouse"/>
        <s v="Bentonville, AR"/>
        <s v="Prescott, AR"/>
        <s v="Minden, LA"/>
        <s v="Hope, AR"/>
        <s v="Coffeyville, KS"/>
        <s v="Bentonville" u="1"/>
        <s v="Hope" u="1"/>
        <s v="NTEC" u="1"/>
        <s v="TEXLA" u="1"/>
        <s v="Prescott" u="1"/>
        <s v="Minden" u="1"/>
      </sharedItems>
    </cacheField>
    <cacheField name="Sched." numFmtId="0">
      <sharedItems containsSemiMixedTypes="0" containsString="0" containsNumber="1" containsInteger="1" minValue="9" maxValue="9"/>
    </cacheField>
    <cacheField name="MW" numFmtId="1">
      <sharedItems containsSemiMixedTypes="0" containsString="0" containsNumber="1" containsInteger="1" minValue="1" maxValue="4265"/>
    </cacheField>
    <cacheField name="Projected Rate (as Invoiced)" numFmtId="164">
      <sharedItems containsSemiMixedTypes="0" containsString="0" containsNumber="1" minValue="1.371384551924467" maxValue="1.371384551924467"/>
    </cacheField>
    <cacheField name="Actual True-Up Rate" numFmtId="164">
      <sharedItems containsSemiMixedTypes="0" containsString="0" containsNumber="1" minValue="1.2144685218974649" maxValue="1.2144685218974649"/>
    </cacheField>
    <cacheField name="True-Up Charge" numFmtId="164">
      <sharedItems containsSemiMixedTypes="0" containsString="0" containsNumber="1" minValue="1.2144685218974649" maxValue="5179.708245892688"/>
    </cacheField>
    <cacheField name="Invoiced*** Charge (proj.)" numFmtId="164">
      <sharedItems containsSemiMixedTypes="0" containsString="0" containsNumber="1" minValue="1.371384551924467" maxValue="5848.9551139578516"/>
    </cacheField>
    <cacheField name="True-Up w/o Interest" numFmtId="164">
      <sharedItems containsSemiMixedTypes="0" containsString="0" containsNumber="1" minValue="-669.24686806516365" maxValue="-0.15691603002700205"/>
    </cacheField>
    <cacheField name="Interest" numFmtId="164">
      <sharedItems containsSemiMixedTypes="0" containsString="0" containsNumber="1" minValue="-54.853429045241903" maxValue="-1.2861296376375592E-2"/>
    </cacheField>
    <cacheField name="2021 True Up Including Interest" numFmtId="164">
      <sharedItems containsSemiMixedTypes="0" containsString="0" containsNumber="1" minValue="-724.10029711040556" maxValue="-0.16977732640337764"/>
    </cacheField>
    <cacheField name="Tax Rebilling Rate" numFmtId="164">
      <sharedItems containsSemiMixedTypes="0" containsString="0" containsNumber="1" containsInteger="1" minValue="0" maxValue="0"/>
    </cacheField>
    <cacheField name="Tax True Up Billing" numFmtId="164">
      <sharedItems containsSemiMixedTypes="0" containsString="0" containsNumber="1" containsInteger="1" minValue="0" maxValue="0"/>
    </cacheField>
    <cacheField name="Tax True Up" numFmtId="164">
      <sharedItems containsSemiMixedTypes="0" containsString="0" containsNumber="1" containsInteger="1" minValue="0" maxValue="0"/>
    </cacheField>
    <cacheField name="Total True-up" numFmtId="164">
      <sharedItems containsSemiMixedTypes="0" containsString="0" containsNumber="1" minValue="-724.10029711040556" maxValue="-0.1697773264033776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2">
  <r>
    <x v="0"/>
    <d v="2023-02-03T00:00:00"/>
    <d v="2023-02-24T00:00:00"/>
    <x v="0"/>
    <n v="9"/>
    <n v="2810"/>
    <n v="1.371384551924467"/>
    <n v="1.2144685218974649"/>
    <n v="3412.6565465318763"/>
    <n v="3853.5905909077524"/>
    <n v="-440.93404437587606"/>
    <n v="-36.140242817615416"/>
    <n v="-477.0742871934915"/>
    <n v="0"/>
    <n v="0"/>
    <n v="0"/>
    <n v="-477.0742871934915"/>
  </r>
  <r>
    <x v="1"/>
    <d v="2023-03-03T00:00:00"/>
    <d v="2023-03-24T00:00:00"/>
    <x v="0"/>
    <n v="9"/>
    <n v="2771"/>
    <n v="1.371384551924467"/>
    <n v="1.2144685218974649"/>
    <n v="3365.2922741778752"/>
    <n v="3800.1065933826981"/>
    <n v="-434.81431920482282"/>
    <n v="-35.638652258936773"/>
    <n v="-470.45297146375958"/>
    <n v="0"/>
    <n v="0"/>
    <n v="0"/>
    <n v="-470.45297146375958"/>
  </r>
  <r>
    <x v="2"/>
    <d v="2023-04-05T00:00:00"/>
    <d v="2023-04-24T00:00:00"/>
    <x v="0"/>
    <n v="9"/>
    <n v="2389"/>
    <n v="1.371384551924467"/>
    <n v="1.2144685218974649"/>
    <n v="2901.3652988130439"/>
    <n v="3276.2376945475517"/>
    <n v="-374.87239573450779"/>
    <n v="-30.725637043161296"/>
    <n v="-405.59803277766906"/>
    <n v="0"/>
    <n v="0"/>
    <n v="0"/>
    <n v="-405.59803277766906"/>
  </r>
  <r>
    <x v="3"/>
    <d v="2023-05-03T00:00:00"/>
    <d v="2023-05-24T00:00:00"/>
    <x v="0"/>
    <n v="9"/>
    <n v="2392"/>
    <n v="1.371384551924467"/>
    <n v="1.2144685218974649"/>
    <n v="2905.0087043787362"/>
    <n v="3280.3518482033251"/>
    <n v="-375.34314382458888"/>
    <n v="-30.764220932290421"/>
    <n v="-406.10736475687929"/>
    <n v="0"/>
    <n v="0"/>
    <n v="0"/>
    <n v="-406.10736475687929"/>
  </r>
  <r>
    <x v="4"/>
    <d v="2023-06-05T00:00:00"/>
    <d v="2023-06-26T00:00:00"/>
    <x v="0"/>
    <n v="9"/>
    <n v="3231"/>
    <n v="1.371384551924467"/>
    <n v="1.2144685218974649"/>
    <n v="3923.9477942507092"/>
    <n v="4430.9434872679531"/>
    <n v="-506.99569301724387"/>
    <n v="-41.55484859206954"/>
    <n v="-548.55054160931343"/>
    <n v="0"/>
    <n v="0"/>
    <n v="0"/>
    <n v="-548.55054160931343"/>
  </r>
  <r>
    <x v="5"/>
    <d v="2023-07-05T00:00:00"/>
    <d v="2023-07-24T00:00:00"/>
    <x v="0"/>
    <n v="9"/>
    <n v="4100"/>
    <n v="1.371384551924467"/>
    <n v="1.2144685218974649"/>
    <n v="4979.3209397796063"/>
    <n v="5622.6766628903142"/>
    <n v="-643.35572311070791"/>
    <n v="-52.731315143139931"/>
    <n v="-696.08703825384782"/>
    <n v="0"/>
    <n v="0"/>
    <n v="0"/>
    <n v="-696.08703825384782"/>
  </r>
  <r>
    <x v="6"/>
    <d v="2023-08-03T00:00:00"/>
    <d v="2023-08-24T00:00:00"/>
    <x v="0"/>
    <n v="9"/>
    <n v="3988"/>
    <n v="1.371384551924467"/>
    <n v="1.2144685218974649"/>
    <n v="4843.30046532709"/>
    <n v="5469.081593074774"/>
    <n v="-625.78112774768397"/>
    <n v="-51.290849948985866"/>
    <n v="-677.07197769666982"/>
    <n v="0"/>
    <n v="0"/>
    <n v="0"/>
    <n v="-677.07197769666982"/>
  </r>
  <r>
    <x v="7"/>
    <d v="2023-09-05T00:00:00"/>
    <d v="2023-09-25T00:00:00"/>
    <x v="0"/>
    <n v="9"/>
    <n v="4265"/>
    <n v="1.371384551924467"/>
    <n v="1.2144685218974649"/>
    <n v="5179.708245892688"/>
    <n v="5848.9551139578516"/>
    <n v="-669.24686806516365"/>
    <n v="-54.853429045241903"/>
    <n v="-724.10029711040556"/>
    <n v="0"/>
    <n v="0"/>
    <n v="0"/>
    <n v="-724.10029711040556"/>
  </r>
  <r>
    <x v="8"/>
    <d v="2023-10-04T00:00:00"/>
    <d v="2023-10-24T00:00:00"/>
    <x v="0"/>
    <n v="9"/>
    <n v="4016"/>
    <n v="1.371384551924467"/>
    <n v="1.2144685218974649"/>
    <n v="4877.3055839402186"/>
    <n v="5507.4803605286597"/>
    <n v="-630.17477658844109"/>
    <n v="-51.650966247524387"/>
    <n v="-681.82574283596546"/>
    <n v="0"/>
    <n v="0"/>
    <n v="0"/>
    <n v="-681.82574283596546"/>
  </r>
  <r>
    <x v="9"/>
    <d v="2023-11-03T00:00:00"/>
    <d v="2023-11-24T00:00:00"/>
    <x v="0"/>
    <n v="9"/>
    <n v="3105"/>
    <n v="1.371384551924467"/>
    <n v="1.2144685218974649"/>
    <n v="3770.9247604916286"/>
    <n v="4258.14903372547"/>
    <n v="-487.22427323384136"/>
    <n v="-39.934325248646218"/>
    <n v="-527.1585984824876"/>
    <n v="0"/>
    <n v="0"/>
    <n v="0"/>
    <n v="-527.1585984824876"/>
  </r>
  <r>
    <x v="10"/>
    <d v="2023-12-06T00:00:00"/>
    <d v="2023-12-25T00:00:00"/>
    <x v="0"/>
    <n v="9"/>
    <n v="2513"/>
    <n v="1.371384551924467"/>
    <n v="1.2144685218974649"/>
    <n v="3051.9593955283294"/>
    <n v="3446.2893789861855"/>
    <n v="-394.32998345785609"/>
    <n v="-32.320437793831871"/>
    <n v="-426.65042125168793"/>
    <n v="0"/>
    <n v="0"/>
    <n v="0"/>
    <n v="-426.65042125168793"/>
  </r>
  <r>
    <x v="11"/>
    <d v="2024-01-03T00:00:00"/>
    <d v="2024-01-24T00:00:00"/>
    <x v="0"/>
    <n v="9"/>
    <n v="2474"/>
    <n v="1.371384551924467"/>
    <n v="1.2144685218974649"/>
    <n v="3004.5951231743284"/>
    <n v="3392.8053814611312"/>
    <n v="-388.21025828680285"/>
    <n v="-31.818847235153218"/>
    <n v="-420.02910552195607"/>
    <n v="0"/>
    <n v="0"/>
    <n v="0"/>
    <n v="-420.02910552195607"/>
  </r>
  <r>
    <x v="0"/>
    <d v="2023-02-03T00:00:00"/>
    <d v="2023-02-24T00:00:00"/>
    <x v="1"/>
    <n v="9"/>
    <n v="2724"/>
    <n v="1.371384551924467"/>
    <n v="1.2144685218974649"/>
    <n v="3308.2122536486945"/>
    <n v="3735.6515194422482"/>
    <n v="-427.43926579355366"/>
    <n v="-35.034171329247116"/>
    <n v="-462.47343712280076"/>
    <n v="0"/>
    <n v="0"/>
    <n v="0"/>
    <n v="-462.47343712280076"/>
  </r>
  <r>
    <x v="1"/>
    <d v="2023-03-03T00:00:00"/>
    <d v="2023-03-24T00:00:00"/>
    <x v="1"/>
    <n v="9"/>
    <n v="2757"/>
    <n v="1.371384551924467"/>
    <n v="1.2144685218974649"/>
    <n v="3348.2897148713109"/>
    <n v="3780.9072096557552"/>
    <n v="-432.61749478444426"/>
    <n v="-35.458594109667509"/>
    <n v="-468.07608889411176"/>
    <n v="0"/>
    <n v="0"/>
    <n v="0"/>
    <n v="-468.07608889411176"/>
  </r>
  <r>
    <x v="2"/>
    <d v="2023-04-05T00:00:00"/>
    <d v="2023-04-24T00:00:00"/>
    <x v="1"/>
    <n v="9"/>
    <n v="2641"/>
    <n v="1.371384551924467"/>
    <n v="1.2144685218974649"/>
    <n v="3207.4113663312046"/>
    <n v="3621.8266016325174"/>
    <n v="-414.4152353013128"/>
    <n v="-33.966683730007944"/>
    <n v="-448.38191903132076"/>
    <n v="0"/>
    <n v="0"/>
    <n v="0"/>
    <n v="-448.38191903132076"/>
  </r>
  <r>
    <x v="3"/>
    <d v="2023-05-03T00:00:00"/>
    <d v="2023-05-24T00:00:00"/>
    <x v="1"/>
    <n v="9"/>
    <n v="2417"/>
    <n v="1.371384551924467"/>
    <n v="1.2144685218974649"/>
    <n v="2935.3704174261725"/>
    <n v="3314.6364620014365"/>
    <n v="-379.266044575264"/>
    <n v="-31.085753341699807"/>
    <n v="-410.35179791696379"/>
    <n v="0"/>
    <n v="0"/>
    <n v="0"/>
    <n v="-410.35179791696379"/>
  </r>
  <r>
    <x v="4"/>
    <d v="2023-06-05T00:00:00"/>
    <d v="2023-06-26T00:00:00"/>
    <x v="1"/>
    <n v="9"/>
    <n v="2844"/>
    <n v="1.371384551924467"/>
    <n v="1.2144685218974649"/>
    <n v="3453.94847627639"/>
    <n v="3900.217665673184"/>
    <n v="-446.26918939679399"/>
    <n v="-36.577526894412188"/>
    <n v="-482.84671629120618"/>
    <n v="0"/>
    <n v="0"/>
    <n v="0"/>
    <n v="-482.84671629120618"/>
  </r>
  <r>
    <x v="5"/>
    <d v="2023-07-05T00:00:00"/>
    <d v="2023-07-24T00:00:00"/>
    <x v="1"/>
    <n v="9"/>
    <n v="3500"/>
    <n v="1.371384551924467"/>
    <n v="1.2144685218974649"/>
    <n v="4250.639826641127"/>
    <n v="4799.8459317356346"/>
    <n v="-549.20610509450762"/>
    <n v="-45.014537317314577"/>
    <n v="-594.22064241182215"/>
    <n v="0"/>
    <n v="0"/>
    <n v="0"/>
    <n v="-594.22064241182215"/>
  </r>
  <r>
    <x v="6"/>
    <d v="2023-08-03T00:00:00"/>
    <d v="2023-08-24T00:00:00"/>
    <x v="1"/>
    <n v="9"/>
    <n v="3569"/>
    <n v="1.371384551924467"/>
    <n v="1.2144685218974649"/>
    <n v="4334.4381546520526"/>
    <n v="4894.471465818423"/>
    <n v="-560.03331116637037"/>
    <n v="-45.901966767284499"/>
    <n v="-605.9352779336549"/>
    <n v="0"/>
    <n v="0"/>
    <n v="0"/>
    <n v="-605.9352779336549"/>
  </r>
  <r>
    <x v="7"/>
    <d v="2023-09-05T00:00:00"/>
    <d v="2023-09-25T00:00:00"/>
    <x v="1"/>
    <n v="9"/>
    <n v="3766"/>
    <n v="1.371384551924467"/>
    <n v="1.2144685218974649"/>
    <n v="4573.6884534658529"/>
    <n v="5164.6342225475428"/>
    <n v="-590.94576908168983"/>
    <n v="-48.435642153430479"/>
    <n v="-639.38141123512037"/>
    <n v="0"/>
    <n v="0"/>
    <n v="0"/>
    <n v="-639.38141123512037"/>
  </r>
  <r>
    <x v="8"/>
    <d v="2023-10-04T00:00:00"/>
    <d v="2023-10-24T00:00:00"/>
    <x v="1"/>
    <n v="9"/>
    <n v="3456"/>
    <n v="1.371384551924467"/>
    <n v="1.2144685218974649"/>
    <n v="4197.203211677639"/>
    <n v="4739.5050114509577"/>
    <n v="-542.30179977331863"/>
    <n v="-44.448640276754055"/>
    <n v="-586.75044005007271"/>
    <n v="0"/>
    <n v="0"/>
    <n v="0"/>
    <n v="-586.75044005007271"/>
  </r>
  <r>
    <x v="9"/>
    <d v="2023-11-03T00:00:00"/>
    <d v="2023-11-24T00:00:00"/>
    <x v="1"/>
    <n v="9"/>
    <n v="2810"/>
    <n v="1.371384551924467"/>
    <n v="1.2144685218974649"/>
    <n v="3412.6565465318763"/>
    <n v="3853.5905909077524"/>
    <n v="-440.93404437587606"/>
    <n v="-36.140242817615416"/>
    <n v="-477.0742871934915"/>
    <n v="0"/>
    <n v="0"/>
    <n v="0"/>
    <n v="-477.0742871934915"/>
  </r>
  <r>
    <x v="10"/>
    <d v="2023-12-06T00:00:00"/>
    <d v="2023-12-25T00:00:00"/>
    <x v="1"/>
    <n v="9"/>
    <n v="2499"/>
    <n v="1.371384551924467"/>
    <n v="1.2144685218974649"/>
    <n v="3034.9568362217647"/>
    <n v="3427.0899952592431"/>
    <n v="-392.13315903747844"/>
    <n v="-32.140379644562607"/>
    <n v="-424.27353868204102"/>
    <n v="0"/>
    <n v="0"/>
    <n v="0"/>
    <n v="-424.27353868204102"/>
  </r>
  <r>
    <x v="11"/>
    <d v="2024-01-03T00:00:00"/>
    <d v="2024-01-24T00:00:00"/>
    <x v="1"/>
    <n v="9"/>
    <n v="2532"/>
    <n v="1.371384551924467"/>
    <n v="1.2144685218974649"/>
    <n v="3075.0342974443811"/>
    <n v="3472.3456854727501"/>
    <n v="-397.31138802836904"/>
    <n v="-32.564802424983"/>
    <n v="-429.87619045335202"/>
    <n v="0"/>
    <n v="0"/>
    <n v="0"/>
    <n v="-429.87619045335202"/>
  </r>
  <r>
    <x v="0"/>
    <d v="2023-02-03T00:00:00"/>
    <d v="2023-02-24T00:00:00"/>
    <x v="2"/>
    <n v="9"/>
    <n v="137"/>
    <n v="1.371384551924467"/>
    <n v="1.2144685218974649"/>
    <n v="166.38218749995269"/>
    <n v="187.87968361365196"/>
    <n v="-21.49749611369927"/>
    <n v="-1.7619976035634561"/>
    <n v="-23.259493717262728"/>
    <n v="0"/>
    <n v="0"/>
    <n v="0"/>
    <n v="-23.259493717262728"/>
  </r>
  <r>
    <x v="1"/>
    <d v="2023-03-03T00:00:00"/>
    <d v="2023-03-24T00:00:00"/>
    <x v="2"/>
    <n v="9"/>
    <n v="132"/>
    <n v="1.371384551924467"/>
    <n v="1.2144685218974649"/>
    <n v="160.30984489046537"/>
    <n v="181.02276085402963"/>
    <n v="-20.712915963564257"/>
    <n v="-1.6976911216815784"/>
    <n v="-22.410607085245836"/>
    <n v="0"/>
    <n v="0"/>
    <n v="0"/>
    <n v="-22.410607085245836"/>
  </r>
  <r>
    <x v="2"/>
    <d v="2023-04-05T00:00:00"/>
    <d v="2023-04-24T00:00:00"/>
    <x v="2"/>
    <n v="9"/>
    <n v="148"/>
    <n v="1.371384551924467"/>
    <n v="1.2144685218974649"/>
    <n v="179.7413412408248"/>
    <n v="202.96491368482111"/>
    <n v="-23.223572443996318"/>
    <n v="-1.9034718637035877"/>
    <n v="-25.127044307699904"/>
    <n v="0"/>
    <n v="0"/>
    <n v="0"/>
    <n v="-25.127044307699904"/>
  </r>
  <r>
    <x v="3"/>
    <d v="2023-05-03T00:00:00"/>
    <d v="2023-05-24T00:00:00"/>
    <x v="2"/>
    <n v="9"/>
    <n v="92"/>
    <n v="1.371384551924467"/>
    <n v="1.2144685218974649"/>
    <n v="111.73110401456677"/>
    <n v="126.16737877705096"/>
    <n v="-14.436274762484189"/>
    <n v="-1.1832392666265545"/>
    <n v="-15.619514029110743"/>
    <n v="0"/>
    <n v="0"/>
    <n v="0"/>
    <n v="-15.619514029110743"/>
  </r>
  <r>
    <x v="4"/>
    <d v="2023-06-05T00:00:00"/>
    <d v="2023-06-26T00:00:00"/>
    <x v="2"/>
    <n v="9"/>
    <n v="104"/>
    <n v="1.371384551924467"/>
    <n v="1.2144685218974649"/>
    <n v="126.30472627733636"/>
    <n v="142.62399340014457"/>
    <n v="-16.319267122808213"/>
    <n v="-1.3375748231430615"/>
    <n v="-17.656841945951275"/>
    <n v="0"/>
    <n v="0"/>
    <n v="0"/>
    <n v="-17.656841945951275"/>
  </r>
  <r>
    <x v="5"/>
    <d v="2023-07-05T00:00:00"/>
    <d v="2023-07-24T00:00:00"/>
    <x v="2"/>
    <n v="9"/>
    <n v="156"/>
    <n v="1.371384551924467"/>
    <n v="1.2144685218974649"/>
    <n v="189.45708941600452"/>
    <n v="213.93599010021686"/>
    <n v="-24.478900684212334"/>
    <n v="-2.0063622347145929"/>
    <n v="-26.485262918926928"/>
    <n v="0"/>
    <n v="0"/>
    <n v="0"/>
    <n v="-26.485262918926928"/>
  </r>
  <r>
    <x v="6"/>
    <d v="2023-08-03T00:00:00"/>
    <d v="2023-08-24T00:00:00"/>
    <x v="2"/>
    <n v="9"/>
    <n v="155"/>
    <n v="1.371384551924467"/>
    <n v="1.2144685218974649"/>
    <n v="188.24262089410706"/>
    <n v="212.56460554829238"/>
    <n v="-24.321984654185314"/>
    <n v="-1.993500938338217"/>
    <n v="-26.31548559252353"/>
    <n v="0"/>
    <n v="0"/>
    <n v="0"/>
    <n v="-26.31548559252353"/>
  </r>
  <r>
    <x v="7"/>
    <d v="2023-09-05T00:00:00"/>
    <d v="2023-09-25T00:00:00"/>
    <x v="2"/>
    <n v="9"/>
    <n v="159"/>
    <n v="1.371384551924467"/>
    <n v="1.2144685218974649"/>
    <n v="193.10049498169693"/>
    <n v="218.05014375599023"/>
    <n v="-24.949648774293308"/>
    <n v="-2.0449461238437192"/>
    <n v="-26.994594898137027"/>
    <n v="0"/>
    <n v="0"/>
    <n v="0"/>
    <n v="-26.994594898137027"/>
  </r>
  <r>
    <x v="8"/>
    <d v="2023-10-04T00:00:00"/>
    <d v="2023-10-24T00:00:00"/>
    <x v="2"/>
    <n v="9"/>
    <n v="144"/>
    <n v="1.371384551924467"/>
    <n v="1.2144685218974649"/>
    <n v="174.88346715323496"/>
    <n v="197.47937547712326"/>
    <n v="-22.595908323888295"/>
    <n v="-1.8520266781980854"/>
    <n v="-24.447935002086382"/>
    <n v="0"/>
    <n v="0"/>
    <n v="0"/>
    <n v="-24.447935002086382"/>
  </r>
  <r>
    <x v="9"/>
    <d v="2023-11-03T00:00:00"/>
    <d v="2023-11-24T00:00:00"/>
    <x v="2"/>
    <n v="9"/>
    <n v="117"/>
    <n v="1.371384551924467"/>
    <n v="1.2144685218974649"/>
    <n v="142.09281706200341"/>
    <n v="160.45199257516262"/>
    <n v="-18.359175513159215"/>
    <n v="-1.5047716760359446"/>
    <n v="-19.863947189195159"/>
    <n v="0"/>
    <n v="0"/>
    <n v="0"/>
    <n v="-19.863947189195159"/>
  </r>
  <r>
    <x v="10"/>
    <d v="2023-12-06T00:00:00"/>
    <d v="2023-12-25T00:00:00"/>
    <x v="2"/>
    <n v="9"/>
    <n v="134"/>
    <n v="1.371384551924467"/>
    <n v="1.2144685218974649"/>
    <n v="162.73878193426029"/>
    <n v="183.76552995787858"/>
    <n v="-21.026748023618296"/>
    <n v="-1.7234137144343296"/>
    <n v="-22.750161738052626"/>
    <n v="0"/>
    <n v="0"/>
    <n v="0"/>
    <n v="-22.750161738052626"/>
  </r>
  <r>
    <x v="11"/>
    <d v="2024-01-03T00:00:00"/>
    <d v="2024-01-24T00:00:00"/>
    <x v="2"/>
    <n v="9"/>
    <n v="145"/>
    <n v="1.371384551924467"/>
    <n v="1.2144685218974649"/>
    <n v="176.09793567513242"/>
    <n v="198.85076002904771"/>
    <n v="-22.752824353915287"/>
    <n v="-1.8648879745744611"/>
    <n v="-24.617712328489748"/>
    <n v="0"/>
    <n v="0"/>
    <n v="0"/>
    <n v="-24.617712328489748"/>
  </r>
  <r>
    <x v="0"/>
    <d v="2023-02-03T00:00:00"/>
    <d v="2023-02-24T00:00:00"/>
    <x v="3"/>
    <n v="9"/>
    <n v="828"/>
    <n v="1.371384551924467"/>
    <n v="1.2144685218974649"/>
    <n v="1005.5799361311009"/>
    <n v="1135.5064089934585"/>
    <n v="-129.92647286235763"/>
    <n v="-10.649153399638992"/>
    <n v="-140.57562626199663"/>
    <n v="0"/>
    <n v="0"/>
    <n v="0"/>
    <n v="-140.57562626199663"/>
  </r>
  <r>
    <x v="1"/>
    <d v="2023-03-03T00:00:00"/>
    <d v="2023-03-24T00:00:00"/>
    <x v="3"/>
    <n v="9"/>
    <n v="786"/>
    <n v="1.371384551924467"/>
    <n v="1.2144685218974649"/>
    <n v="954.57225821140742"/>
    <n v="1077.9082578126311"/>
    <n v="-123.33599960122365"/>
    <n v="-10.108978951831217"/>
    <n v="-133.44497855305485"/>
    <n v="0"/>
    <n v="0"/>
    <n v="0"/>
    <n v="-133.44497855305485"/>
  </r>
  <r>
    <x v="2"/>
    <d v="2023-04-05T00:00:00"/>
    <d v="2023-04-24T00:00:00"/>
    <x v="3"/>
    <n v="9"/>
    <n v="702"/>
    <n v="1.371384551924467"/>
    <n v="1.2144685218974649"/>
    <n v="852.55690237202032"/>
    <n v="962.71195545097578"/>
    <n v="-110.15505307895546"/>
    <n v="-9.0286300562156665"/>
    <n v="-119.18368313517112"/>
    <n v="0"/>
    <n v="0"/>
    <n v="0"/>
    <n v="-119.18368313517112"/>
  </r>
  <r>
    <x v="3"/>
    <d v="2023-05-03T00:00:00"/>
    <d v="2023-05-24T00:00:00"/>
    <x v="3"/>
    <n v="9"/>
    <n v="519"/>
    <n v="1.371384551924467"/>
    <n v="1.2144685218974649"/>
    <n v="630.3091628647843"/>
    <n v="711.7485824487984"/>
    <n v="-81.439419584014104"/>
    <n v="-6.6750128193389324"/>
    <n v="-88.114432403353035"/>
    <n v="0"/>
    <n v="0"/>
    <n v="0"/>
    <n v="-88.114432403353035"/>
  </r>
  <r>
    <x v="4"/>
    <d v="2023-06-05T00:00:00"/>
    <d v="2023-06-26T00:00:00"/>
    <x v="3"/>
    <n v="9"/>
    <n v="720"/>
    <n v="1.371384551924467"/>
    <n v="1.2144685218974649"/>
    <n v="874.41733576617469"/>
    <n v="987.39687738561622"/>
    <n v="-112.97954161944153"/>
    <n v="-9.2601333909904273"/>
    <n v="-122.23967501043197"/>
    <n v="0"/>
    <n v="0"/>
    <n v="0"/>
    <n v="-122.23967501043197"/>
  </r>
  <r>
    <x v="5"/>
    <d v="2023-07-05T00:00:00"/>
    <d v="2023-07-24T00:00:00"/>
    <x v="3"/>
    <n v="9"/>
    <n v="975"/>
    <n v="1.371384551924467"/>
    <n v="1.2144685218974649"/>
    <n v="1184.1068088500283"/>
    <n v="1337.0999381263553"/>
    <n v="-152.99312927632695"/>
    <n v="-12.539763966966204"/>
    <n v="-165.53289324329316"/>
    <n v="0"/>
    <n v="0"/>
    <n v="0"/>
    <n v="-165.53289324329316"/>
  </r>
  <r>
    <x v="6"/>
    <d v="2023-08-03T00:00:00"/>
    <d v="2023-08-24T00:00:00"/>
    <x v="3"/>
    <n v="9"/>
    <n v="924"/>
    <n v="1.371384551924467"/>
    <n v="1.2144685218974649"/>
    <n v="1122.1689142332575"/>
    <n v="1267.1593259782076"/>
    <n v="-144.99041174495005"/>
    <n v="-11.883837851771048"/>
    <n v="-156.87424959672109"/>
    <n v="0"/>
    <n v="0"/>
    <n v="0"/>
    <n v="-156.87424959672109"/>
  </r>
  <r>
    <x v="7"/>
    <d v="2023-09-05T00:00:00"/>
    <d v="2023-09-25T00:00:00"/>
    <x v="3"/>
    <n v="9"/>
    <n v="1053"/>
    <n v="1.371384551924467"/>
    <n v="1.2144685218974649"/>
    <n v="1278.8353535580306"/>
    <n v="1444.0679331764636"/>
    <n v="-165.23257961843296"/>
    <n v="-13.542945084323501"/>
    <n v="-178.77552470275646"/>
    <n v="0"/>
    <n v="0"/>
    <n v="0"/>
    <n v="-178.77552470275646"/>
  </r>
  <r>
    <x v="8"/>
    <d v="2023-10-04T00:00:00"/>
    <d v="2023-10-24T00:00:00"/>
    <x v="3"/>
    <n v="9"/>
    <n v="905"/>
    <n v="1.371384551924467"/>
    <n v="1.2144685218974649"/>
    <n v="1099.0940123172056"/>
    <n v="1241.1030194916425"/>
    <n v="-142.00900717443687"/>
    <n v="-11.639473220619912"/>
    <n v="-153.64848039505679"/>
    <n v="0"/>
    <n v="0"/>
    <n v="0"/>
    <n v="-153.64848039505679"/>
  </r>
  <r>
    <x v="9"/>
    <d v="2023-11-03T00:00:00"/>
    <d v="2023-11-24T00:00:00"/>
    <x v="3"/>
    <n v="9"/>
    <n v="694"/>
    <n v="1.371384551924467"/>
    <n v="1.2144685218974649"/>
    <n v="842.84115419684065"/>
    <n v="951.74087903558006"/>
    <n v="-108.89972483873942"/>
    <n v="-8.9257396852046629"/>
    <n v="-117.82546452394408"/>
    <n v="0"/>
    <n v="0"/>
    <n v="0"/>
    <n v="-117.82546452394408"/>
  </r>
  <r>
    <x v="10"/>
    <d v="2023-12-06T00:00:00"/>
    <d v="2023-12-25T00:00:00"/>
    <x v="3"/>
    <n v="9"/>
    <n v="736"/>
    <n v="1.371384551924467"/>
    <n v="1.2144685218974649"/>
    <n v="893.84883211653414"/>
    <n v="1009.3390302164077"/>
    <n v="-115.49019809987351"/>
    <n v="-9.4659141330124363"/>
    <n v="-124.95611223288594"/>
    <n v="0"/>
    <n v="0"/>
    <n v="0"/>
    <n v="-124.95611223288594"/>
  </r>
  <r>
    <x v="11"/>
    <d v="2024-01-03T00:00:00"/>
    <d v="2024-01-24T00:00:00"/>
    <x v="3"/>
    <n v="9"/>
    <n v="713"/>
    <n v="1.371384551924467"/>
    <n v="1.2144685218974649"/>
    <n v="865.91605611289242"/>
    <n v="977.7971855221449"/>
    <n v="-111.88112940925248"/>
    <n v="-9.1701043163557987"/>
    <n v="-121.05123372560828"/>
    <n v="0"/>
    <n v="0"/>
    <n v="0"/>
    <n v="-121.05123372560828"/>
  </r>
  <r>
    <x v="0"/>
    <d v="2023-02-03T00:00:00"/>
    <d v="2023-02-24T00:00:00"/>
    <x v="4"/>
    <n v="9"/>
    <n v="44"/>
    <n v="1.371384551924467"/>
    <n v="1.2144685218974649"/>
    <n v="53.436614963488452"/>
    <n v="60.340920284676542"/>
    <n v="-6.9043053211880903"/>
    <n v="-0.56589704056052614"/>
    <n v="-7.4702023617486164"/>
    <n v="0"/>
    <n v="0"/>
    <n v="0"/>
    <n v="-7.4702023617486164"/>
  </r>
  <r>
    <x v="1"/>
    <d v="2023-03-03T00:00:00"/>
    <d v="2023-03-24T00:00:00"/>
    <x v="4"/>
    <n v="9"/>
    <n v="42"/>
    <n v="1.371384551924467"/>
    <n v="1.2144685218974649"/>
    <n v="51.007677919693528"/>
    <n v="57.598151180827614"/>
    <n v="-6.5904732611340862"/>
    <n v="-0.5401744478077749"/>
    <n v="-7.1306477089418614"/>
    <n v="0"/>
    <n v="0"/>
    <n v="0"/>
    <n v="-7.1306477089418614"/>
  </r>
  <r>
    <x v="2"/>
    <d v="2023-04-05T00:00:00"/>
    <d v="2023-04-24T00:00:00"/>
    <x v="4"/>
    <n v="9"/>
    <n v="37"/>
    <n v="1.371384551924467"/>
    <n v="1.2144685218974649"/>
    <n v="44.935335310206199"/>
    <n v="50.741228421205278"/>
    <n v="-5.8058931109990795"/>
    <n v="-0.47586796592589692"/>
    <n v="-6.2817610769249761"/>
    <n v="0"/>
    <n v="0"/>
    <n v="0"/>
    <n v="-6.2817610769249761"/>
  </r>
  <r>
    <x v="3"/>
    <d v="2023-05-03T00:00:00"/>
    <d v="2023-05-24T00:00:00"/>
    <x v="4"/>
    <n v="9"/>
    <n v="27"/>
    <n v="1.371384551924467"/>
    <n v="1.2144685218974649"/>
    <n v="32.790650091231555"/>
    <n v="37.027382901960607"/>
    <n v="-4.2367328107290518"/>
    <n v="-0.34725500216214106"/>
    <n v="-4.5839878128911931"/>
    <n v="0"/>
    <n v="0"/>
    <n v="0"/>
    <n v="-4.5839878128911931"/>
  </r>
  <r>
    <x v="4"/>
    <d v="2023-06-05T00:00:00"/>
    <d v="2023-06-26T00:00:00"/>
    <x v="4"/>
    <n v="9"/>
    <n v="42"/>
    <n v="1.371384551924467"/>
    <n v="1.2144685218974649"/>
    <n v="51.007677919693528"/>
    <n v="57.598151180827614"/>
    <n v="-6.5904732611340862"/>
    <n v="-0.5401744478077749"/>
    <n v="-7.1306477089418614"/>
    <n v="0"/>
    <n v="0"/>
    <n v="0"/>
    <n v="-7.1306477089418614"/>
  </r>
  <r>
    <x v="5"/>
    <d v="2023-07-05T00:00:00"/>
    <d v="2023-07-24T00:00:00"/>
    <x v="4"/>
    <n v="9"/>
    <n v="56"/>
    <n v="1.371384551924467"/>
    <n v="1.2144685218974649"/>
    <n v="68.010237226258027"/>
    <n v="76.797534907770142"/>
    <n v="-8.7872976815121149"/>
    <n v="-0.72023259707703324"/>
    <n v="-9.5075302785891473"/>
    <n v="0"/>
    <n v="0"/>
    <n v="0"/>
    <n v="-9.5075302785891473"/>
  </r>
  <r>
    <x v="6"/>
    <d v="2023-08-03T00:00:00"/>
    <d v="2023-08-24T00:00:00"/>
    <x v="4"/>
    <n v="9"/>
    <n v="54"/>
    <n v="1.371384551924467"/>
    <n v="1.2144685218974649"/>
    <n v="65.58130018246311"/>
    <n v="74.054765803921214"/>
    <n v="-8.4734656214581037"/>
    <n v="-0.69451000432428212"/>
    <n v="-9.1679756257823861"/>
    <n v="0"/>
    <n v="0"/>
    <n v="0"/>
    <n v="-9.1679756257823861"/>
  </r>
  <r>
    <x v="7"/>
    <d v="2023-09-05T00:00:00"/>
    <d v="2023-09-25T00:00:00"/>
    <x v="4"/>
    <n v="9"/>
    <n v="59"/>
    <n v="1.371384551924467"/>
    <n v="1.2144685218974649"/>
    <n v="71.653642791950432"/>
    <n v="80.911688563543549"/>
    <n v="-9.2580457715931175"/>
    <n v="-0.75881648620616005"/>
    <n v="-10.016862257799277"/>
    <n v="0"/>
    <n v="0"/>
    <n v="0"/>
    <n v="-10.016862257799277"/>
  </r>
  <r>
    <x v="8"/>
    <d v="2023-10-04T00:00:00"/>
    <d v="2023-10-24T00:00:00"/>
    <x v="4"/>
    <n v="9"/>
    <n v="54"/>
    <n v="1.371384551924467"/>
    <n v="1.2144685218974649"/>
    <n v="65.58130018246311"/>
    <n v="74.054765803921214"/>
    <n v="-8.4734656214581037"/>
    <n v="-0.69451000432428212"/>
    <n v="-9.1679756257823861"/>
    <n v="0"/>
    <n v="0"/>
    <n v="0"/>
    <n v="-9.1679756257823861"/>
  </r>
  <r>
    <x v="9"/>
    <d v="2023-11-03T00:00:00"/>
    <d v="2023-11-24T00:00:00"/>
    <x v="4"/>
    <n v="9"/>
    <n v="37"/>
    <n v="1.371384551924467"/>
    <n v="1.2144685218974649"/>
    <n v="44.935335310206199"/>
    <n v="50.741228421205278"/>
    <n v="-5.8058931109990795"/>
    <n v="-0.47586796592589692"/>
    <n v="-6.2817610769249761"/>
    <n v="0"/>
    <n v="0"/>
    <n v="0"/>
    <n v="-6.2817610769249761"/>
  </r>
  <r>
    <x v="10"/>
    <d v="2023-12-06T00:00:00"/>
    <d v="2023-12-25T00:00:00"/>
    <x v="4"/>
    <n v="9"/>
    <n v="38"/>
    <n v="1.371384551924467"/>
    <n v="1.2144685218974649"/>
    <n v="46.149803832103665"/>
    <n v="52.112612973129742"/>
    <n v="-5.962809141026078"/>
    <n v="-0.48872926230227259"/>
    <n v="-6.4515384033283505"/>
    <n v="0"/>
    <n v="0"/>
    <n v="0"/>
    <n v="-6.4515384033283505"/>
  </r>
  <r>
    <x v="11"/>
    <d v="2024-01-03T00:00:00"/>
    <d v="2024-01-24T00:00:00"/>
    <x v="4"/>
    <n v="9"/>
    <n v="35"/>
    <n v="1.371384551924467"/>
    <n v="1.2144685218974649"/>
    <n v="42.506398266411274"/>
    <n v="47.998459317356343"/>
    <n v="-5.4920610509450682"/>
    <n v="-0.45014537317314579"/>
    <n v="-5.942206424118214"/>
    <n v="0"/>
    <n v="0"/>
    <n v="0"/>
    <n v="-5.942206424118214"/>
  </r>
  <r>
    <x v="0"/>
    <d v="2023-02-03T00:00:00"/>
    <d v="2023-02-24T00:00:00"/>
    <x v="5"/>
    <n v="9"/>
    <n v="53"/>
    <n v="1.371384551924467"/>
    <n v="1.2144685218974649"/>
    <n v="64.366831660565637"/>
    <n v="72.683381251996749"/>
    <n v="-8.3165495914311123"/>
    <n v="-0.68164870794790655"/>
    <n v="-8.9981982993790197"/>
    <n v="0"/>
    <n v="0"/>
    <n v="0"/>
    <n v="-8.9981982993790197"/>
  </r>
  <r>
    <x v="1"/>
    <d v="2023-03-03T00:00:00"/>
    <d v="2023-03-24T00:00:00"/>
    <x v="5"/>
    <n v="9"/>
    <n v="55"/>
    <n v="1.371384551924467"/>
    <n v="1.2144685218974649"/>
    <n v="66.795768704360569"/>
    <n v="75.426150355845678"/>
    <n v="-8.6303816514851093"/>
    <n v="-0.70737130070065768"/>
    <n v="-9.3377529521857667"/>
    <n v="0"/>
    <n v="0"/>
    <n v="0"/>
    <n v="-9.3377529521857667"/>
  </r>
  <r>
    <x v="2"/>
    <d v="2023-04-05T00:00:00"/>
    <d v="2023-04-24T00:00:00"/>
    <x v="5"/>
    <n v="9"/>
    <n v="46"/>
    <n v="1.371384551924467"/>
    <n v="1.2144685218974649"/>
    <n v="55.865552007283384"/>
    <n v="63.083689388525478"/>
    <n v="-7.2181373812420944"/>
    <n v="-0.59161963331327727"/>
    <n v="-7.8097570145553714"/>
    <n v="0"/>
    <n v="0"/>
    <n v="0"/>
    <n v="-7.8097570145553714"/>
  </r>
  <r>
    <x v="3"/>
    <d v="2023-05-03T00:00:00"/>
    <d v="2023-05-24T00:00:00"/>
    <x v="5"/>
    <n v="9"/>
    <n v="33"/>
    <n v="1.371384551924467"/>
    <n v="1.2144685218974649"/>
    <n v="40.077461222616343"/>
    <n v="45.255690213507407"/>
    <n v="-5.1782289908910641"/>
    <n v="-0.42442278042039461"/>
    <n v="-5.602651771311459"/>
    <n v="0"/>
    <n v="0"/>
    <n v="0"/>
    <n v="-5.602651771311459"/>
  </r>
  <r>
    <x v="4"/>
    <d v="2023-06-05T00:00:00"/>
    <d v="2023-06-26T00:00:00"/>
    <x v="5"/>
    <n v="9"/>
    <n v="44"/>
    <n v="1.371384551924467"/>
    <n v="1.2144685218974649"/>
    <n v="53.436614963488452"/>
    <n v="60.340920284676542"/>
    <n v="-6.9043053211880903"/>
    <n v="-0.56589704056052614"/>
    <n v="-7.4702023617486164"/>
    <n v="0"/>
    <n v="0"/>
    <n v="0"/>
    <n v="-7.4702023617486164"/>
  </r>
  <r>
    <x v="5"/>
    <d v="2023-07-05T00:00:00"/>
    <d v="2023-07-24T00:00:00"/>
    <x v="5"/>
    <n v="9"/>
    <n v="55"/>
    <n v="1.371384551924467"/>
    <n v="1.2144685218974649"/>
    <n v="66.795768704360569"/>
    <n v="75.426150355845678"/>
    <n v="-8.6303816514851093"/>
    <n v="-0.70737130070065768"/>
    <n v="-9.3377529521857667"/>
    <n v="0"/>
    <n v="0"/>
    <n v="0"/>
    <n v="-9.3377529521857667"/>
  </r>
  <r>
    <x v="6"/>
    <d v="2023-08-03T00:00:00"/>
    <d v="2023-08-24T00:00:00"/>
    <x v="5"/>
    <n v="9"/>
    <n v="57"/>
    <n v="1.371384551924467"/>
    <n v="1.2144685218974649"/>
    <n v="69.2247057481555"/>
    <n v="78.168919459694621"/>
    <n v="-8.9442137115391205"/>
    <n v="-0.73309389345340881"/>
    <n v="-9.6773076049925297"/>
    <n v="0"/>
    <n v="0"/>
    <n v="0"/>
    <n v="-9.6773076049925297"/>
  </r>
  <r>
    <x v="7"/>
    <d v="2023-09-05T00:00:00"/>
    <d v="2023-09-25T00:00:00"/>
    <x v="5"/>
    <n v="9"/>
    <n v="56"/>
    <n v="1.371384551924467"/>
    <n v="1.2144685218974649"/>
    <n v="68.010237226258027"/>
    <n v="76.797534907770142"/>
    <n v="-8.7872976815121149"/>
    <n v="-0.72023259707703324"/>
    <n v="-9.5075302785891473"/>
    <n v="0"/>
    <n v="0"/>
    <n v="0"/>
    <n v="-9.5075302785891473"/>
  </r>
  <r>
    <x v="8"/>
    <d v="2023-10-04T00:00:00"/>
    <d v="2023-10-24T00:00:00"/>
    <x v="5"/>
    <n v="9"/>
    <n v="60"/>
    <n v="1.371384551924467"/>
    <n v="1.2144685218974649"/>
    <n v="72.868111313847891"/>
    <n v="82.283073115468014"/>
    <n v="-9.4149618016201231"/>
    <n v="-0.77167778258253561"/>
    <n v="-10.186639584202659"/>
    <n v="0"/>
    <n v="0"/>
    <n v="0"/>
    <n v="-10.186639584202659"/>
  </r>
  <r>
    <x v="9"/>
    <d v="2023-11-03T00:00:00"/>
    <d v="2023-11-24T00:00:00"/>
    <x v="5"/>
    <n v="9"/>
    <n v="48"/>
    <n v="1.371384551924467"/>
    <n v="1.2144685218974649"/>
    <n v="58.294489051078315"/>
    <n v="65.826458492374414"/>
    <n v="-7.5319694412960985"/>
    <n v="-0.61734222606602851"/>
    <n v="-8.1493116673621273"/>
    <n v="0"/>
    <n v="0"/>
    <n v="0"/>
    <n v="-8.1493116673621273"/>
  </r>
  <r>
    <x v="10"/>
    <d v="2023-12-06T00:00:00"/>
    <d v="2023-12-25T00:00:00"/>
    <x v="5"/>
    <n v="9"/>
    <n v="54"/>
    <n v="1.371384551924467"/>
    <n v="1.2144685218974649"/>
    <n v="65.58130018246311"/>
    <n v="74.054765803921214"/>
    <n v="-8.4734656214581037"/>
    <n v="-0.69451000432428212"/>
    <n v="-9.1679756257823861"/>
    <n v="0"/>
    <n v="0"/>
    <n v="0"/>
    <n v="-9.1679756257823861"/>
  </r>
  <r>
    <x v="11"/>
    <d v="2024-01-03T00:00:00"/>
    <d v="2024-01-24T00:00:00"/>
    <x v="5"/>
    <n v="9"/>
    <n v="55"/>
    <n v="1.371384551924467"/>
    <n v="1.2144685218974649"/>
    <n v="66.795768704360569"/>
    <n v="75.426150355845678"/>
    <n v="-8.6303816514851093"/>
    <n v="-0.70737130070065768"/>
    <n v="-9.3377529521857667"/>
    <n v="0"/>
    <n v="0"/>
    <n v="0"/>
    <n v="-9.3377529521857667"/>
  </r>
  <r>
    <x v="0"/>
    <d v="2023-02-03T00:00:00"/>
    <d v="2023-02-24T00:00:00"/>
    <x v="6"/>
    <n v="9"/>
    <n v="84"/>
    <n v="1.371384551924467"/>
    <n v="1.2144685218974649"/>
    <n v="102.01535583938706"/>
    <n v="115.19630236165523"/>
    <n v="-13.180946522268172"/>
    <n v="-1.0803488956155498"/>
    <n v="-14.261295417883723"/>
    <n v="0"/>
    <n v="0"/>
    <n v="0"/>
    <n v="-14.261295417883723"/>
  </r>
  <r>
    <x v="1"/>
    <d v="2023-03-03T00:00:00"/>
    <d v="2023-03-24T00:00:00"/>
    <x v="6"/>
    <n v="9"/>
    <n v="83"/>
    <n v="1.371384551924467"/>
    <n v="1.2144685218974649"/>
    <n v="100.80088731748958"/>
    <n v="113.82491780973076"/>
    <n v="-13.024030492241181"/>
    <n v="-1.0674875992391741"/>
    <n v="-14.091518091480355"/>
    <n v="0"/>
    <n v="0"/>
    <n v="0"/>
    <n v="-14.091518091480355"/>
  </r>
  <r>
    <x v="2"/>
    <d v="2023-04-05T00:00:00"/>
    <d v="2023-04-24T00:00:00"/>
    <x v="6"/>
    <n v="9"/>
    <n v="76"/>
    <n v="1.371384551924467"/>
    <n v="1.2144685218974649"/>
    <n v="92.299607664207329"/>
    <n v="104.22522594625948"/>
    <n v="-11.925618282052156"/>
    <n v="-0.97745852460454519"/>
    <n v="-12.903076806656701"/>
    <n v="0"/>
    <n v="0"/>
    <n v="0"/>
    <n v="-12.903076806656701"/>
  </r>
  <r>
    <x v="3"/>
    <d v="2023-05-03T00:00:00"/>
    <d v="2023-05-24T00:00:00"/>
    <x v="6"/>
    <n v="9"/>
    <n v="69"/>
    <n v="1.371384551924467"/>
    <n v="1.2144685218974649"/>
    <n v="83.798328010925076"/>
    <n v="94.625534082788221"/>
    <n v="-10.827206071863145"/>
    <n v="-0.88742944996991591"/>
    <n v="-11.714635521833062"/>
    <n v="0"/>
    <n v="0"/>
    <n v="0"/>
    <n v="-11.714635521833062"/>
  </r>
  <r>
    <x v="4"/>
    <d v="2023-06-05T00:00:00"/>
    <d v="2023-06-26T00:00:00"/>
    <x v="6"/>
    <n v="9"/>
    <n v="99"/>
    <n v="1.371384551924467"/>
    <n v="1.2144685218974649"/>
    <n v="120.23238366784902"/>
    <n v="135.76707064052223"/>
    <n v="-15.534686972673214"/>
    <n v="-1.2732683412611838"/>
    <n v="-16.807955313934396"/>
    <n v="0"/>
    <n v="0"/>
    <n v="0"/>
    <n v="-16.807955313934396"/>
  </r>
  <r>
    <x v="5"/>
    <d v="2023-07-05T00:00:00"/>
    <d v="2023-07-24T00:00:00"/>
    <x v="6"/>
    <n v="9"/>
    <n v="149"/>
    <n v="1.371384551924467"/>
    <n v="1.2144685218974649"/>
    <n v="180.95580976272228"/>
    <n v="204.33629823674556"/>
    <n v="-23.380488474023281"/>
    <n v="-1.9163331600799633"/>
    <n v="-25.296821634103246"/>
    <n v="0"/>
    <n v="0"/>
    <n v="0"/>
    <n v="-25.296821634103246"/>
  </r>
  <r>
    <x v="6"/>
    <d v="2023-08-03T00:00:00"/>
    <d v="2023-08-24T00:00:00"/>
    <x v="6"/>
    <n v="9"/>
    <n v="148"/>
    <n v="1.371384551924467"/>
    <n v="1.2144685218974649"/>
    <n v="179.7413412408248"/>
    <n v="202.96491368482111"/>
    <n v="-23.223572443996318"/>
    <n v="-1.9034718637035877"/>
    <n v="-25.127044307699904"/>
    <n v="0"/>
    <n v="0"/>
    <n v="0"/>
    <n v="-25.127044307699904"/>
  </r>
  <r>
    <x v="7"/>
    <d v="2023-09-05T00:00:00"/>
    <d v="2023-09-25T00:00:00"/>
    <x v="6"/>
    <n v="9"/>
    <n v="160"/>
    <n v="1.371384551924467"/>
    <n v="1.2144685218974649"/>
    <n v="194.31496350359438"/>
    <n v="219.42152830791471"/>
    <n v="-25.106564804320328"/>
    <n v="-2.0578074202200951"/>
    <n v="-27.164372224540422"/>
    <n v="0"/>
    <n v="0"/>
    <n v="0"/>
    <n v="-27.164372224540422"/>
  </r>
  <r>
    <x v="8"/>
    <d v="2023-10-04T00:00:00"/>
    <d v="2023-10-24T00:00:00"/>
    <x v="6"/>
    <n v="9"/>
    <n v="155"/>
    <n v="1.371384551924467"/>
    <n v="1.2144685218974649"/>
    <n v="188.24262089410706"/>
    <n v="212.56460554829238"/>
    <n v="-24.321984654185314"/>
    <n v="-1.993500938338217"/>
    <n v="-26.31548559252353"/>
    <n v="0"/>
    <n v="0"/>
    <n v="0"/>
    <n v="-26.31548559252353"/>
  </r>
  <r>
    <x v="9"/>
    <d v="2023-11-03T00:00:00"/>
    <d v="2023-11-24T00:00:00"/>
    <x v="6"/>
    <n v="9"/>
    <n v="110"/>
    <n v="1.371384551924467"/>
    <n v="1.2144685218974649"/>
    <n v="133.59153740872114"/>
    <n v="150.85230071169136"/>
    <n v="-17.260763302970219"/>
    <n v="-1.4147426014013154"/>
    <n v="-18.675505904371533"/>
    <n v="0"/>
    <n v="0"/>
    <n v="0"/>
    <n v="-18.675505904371533"/>
  </r>
  <r>
    <x v="10"/>
    <d v="2023-12-06T00:00:00"/>
    <d v="2023-12-25T00:00:00"/>
    <x v="6"/>
    <n v="9"/>
    <n v="70"/>
    <n v="1.371384551924467"/>
    <n v="1.2144685218974649"/>
    <n v="85.012796532822549"/>
    <n v="95.996918634712685"/>
    <n v="-10.984122101890136"/>
    <n v="-0.90029074634629158"/>
    <n v="-11.884412848236428"/>
    <n v="0"/>
    <n v="0"/>
    <n v="0"/>
    <n v="-11.884412848236428"/>
  </r>
  <r>
    <x v="11"/>
    <d v="2024-01-03T00:00:00"/>
    <d v="2024-01-24T00:00:00"/>
    <x v="6"/>
    <n v="9"/>
    <n v="66"/>
    <n v="1.371384551924467"/>
    <n v="1.2144685218974649"/>
    <n v="80.154922445232685"/>
    <n v="90.511380427014814"/>
    <n v="-10.356457981782128"/>
    <n v="-0.84884556084078922"/>
    <n v="-11.205303542622918"/>
    <n v="0"/>
    <n v="0"/>
    <n v="0"/>
    <n v="-11.205303542622918"/>
  </r>
  <r>
    <x v="0"/>
    <d v="2023-02-03T00:00:00"/>
    <d v="2023-02-24T00:00:00"/>
    <x v="7"/>
    <n v="9"/>
    <n v="63"/>
    <n v="1.371384551924467"/>
    <n v="1.2144685218974649"/>
    <n v="76.511516879540295"/>
    <n v="86.397226771241421"/>
    <n v="-9.8857098917011257"/>
    <n v="-0.8102616717116623"/>
    <n v="-10.695971563412789"/>
    <n v="0"/>
    <n v="0"/>
    <n v="0"/>
    <n v="-10.695971563412789"/>
  </r>
  <r>
    <x v="1"/>
    <d v="2023-03-03T00:00:00"/>
    <d v="2023-03-24T00:00:00"/>
    <x v="7"/>
    <n v="9"/>
    <n v="63"/>
    <n v="1.371384551924467"/>
    <n v="1.2144685218974649"/>
    <n v="76.511516879540295"/>
    <n v="86.397226771241421"/>
    <n v="-9.8857098917011257"/>
    <n v="-0.8102616717116623"/>
    <n v="-10.695971563412789"/>
    <n v="0"/>
    <n v="0"/>
    <n v="0"/>
    <n v="-10.695971563412789"/>
  </r>
  <r>
    <x v="2"/>
    <d v="2023-04-05T00:00:00"/>
    <d v="2023-04-24T00:00:00"/>
    <x v="7"/>
    <n v="9"/>
    <n v="67"/>
    <n v="1.371384551924467"/>
    <n v="1.2144685218974649"/>
    <n v="81.369390967130144"/>
    <n v="91.882764978939292"/>
    <n v="-10.513374011809148"/>
    <n v="-0.86170685721716478"/>
    <n v="-11.375080869026313"/>
    <n v="0"/>
    <n v="0"/>
    <n v="0"/>
    <n v="-11.375080869026313"/>
  </r>
  <r>
    <x v="3"/>
    <d v="2023-05-03T00:00:00"/>
    <d v="2023-05-24T00:00:00"/>
    <x v="7"/>
    <n v="9"/>
    <n v="62"/>
    <n v="1.371384551924467"/>
    <n v="1.2144685218974649"/>
    <n v="75.297048357642822"/>
    <n v="85.025842219316957"/>
    <n v="-9.7287938616741343"/>
    <n v="-0.79740037533528674"/>
    <n v="-10.52619423700942"/>
    <n v="0"/>
    <n v="0"/>
    <n v="0"/>
    <n v="-10.52619423700942"/>
  </r>
  <r>
    <x v="4"/>
    <d v="2023-06-05T00:00:00"/>
    <d v="2023-06-26T00:00:00"/>
    <x v="7"/>
    <n v="9"/>
    <n v="51"/>
    <n v="1.371384551924467"/>
    <n v="1.2144685218974649"/>
    <n v="61.937894616770713"/>
    <n v="69.940612148147821"/>
    <n v="-8.0027175313771082"/>
    <n v="-0.6559261151951552"/>
    <n v="-8.6586436465722638"/>
    <n v="0"/>
    <n v="0"/>
    <n v="0"/>
    <n v="-8.6586436465722638"/>
  </r>
  <r>
    <x v="5"/>
    <d v="2023-07-05T00:00:00"/>
    <d v="2023-07-24T00:00:00"/>
    <x v="7"/>
    <n v="9"/>
    <n v="67"/>
    <n v="1.371384551924467"/>
    <n v="1.2144685218974649"/>
    <n v="81.369390967130144"/>
    <n v="91.882764978939292"/>
    <n v="-10.513374011809148"/>
    <n v="-0.86170685721716478"/>
    <n v="-11.375080869026313"/>
    <n v="0"/>
    <n v="0"/>
    <n v="0"/>
    <n v="-11.375080869026313"/>
  </r>
  <r>
    <x v="6"/>
    <d v="2023-08-03T00:00:00"/>
    <d v="2023-08-24T00:00:00"/>
    <x v="7"/>
    <n v="9"/>
    <n v="66"/>
    <n v="1.371384551924467"/>
    <n v="1.2144685218974649"/>
    <n v="80.154922445232685"/>
    <n v="90.511380427014814"/>
    <n v="-10.356457981782128"/>
    <n v="-0.84884556084078922"/>
    <n v="-11.205303542622918"/>
    <n v="0"/>
    <n v="0"/>
    <n v="0"/>
    <n v="-11.205303542622918"/>
  </r>
  <r>
    <x v="7"/>
    <d v="2023-09-05T00:00:00"/>
    <d v="2023-09-25T00:00:00"/>
    <x v="7"/>
    <n v="9"/>
    <n v="61"/>
    <n v="1.371384551924467"/>
    <n v="1.2144685218974649"/>
    <n v="74.082579835745364"/>
    <n v="83.654457667392478"/>
    <n v="-9.5718778316471145"/>
    <n v="-0.78453907895891117"/>
    <n v="-10.356416910606026"/>
    <n v="0"/>
    <n v="0"/>
    <n v="0"/>
    <n v="-10.356416910606026"/>
  </r>
  <r>
    <x v="8"/>
    <d v="2023-10-04T00:00:00"/>
    <d v="2023-10-24T00:00:00"/>
    <x v="7"/>
    <n v="9"/>
    <n v="55"/>
    <n v="1.371384551924467"/>
    <n v="1.2144685218974649"/>
    <n v="66.795768704360569"/>
    <n v="75.426150355845678"/>
    <n v="-8.6303816514851093"/>
    <n v="-0.70737130070065768"/>
    <n v="-9.3377529521857667"/>
    <n v="0"/>
    <n v="0"/>
    <n v="0"/>
    <n v="-9.3377529521857667"/>
  </r>
  <r>
    <x v="9"/>
    <d v="2023-11-03T00:00:00"/>
    <d v="2023-11-24T00:00:00"/>
    <x v="7"/>
    <n v="9"/>
    <n v="59"/>
    <n v="1.371384551924467"/>
    <n v="1.2144685218974649"/>
    <n v="71.653642791950432"/>
    <n v="80.911688563543549"/>
    <n v="-9.2580457715931175"/>
    <n v="-0.75881648620616005"/>
    <n v="-10.016862257799277"/>
    <n v="0"/>
    <n v="0"/>
    <n v="0"/>
    <n v="-10.016862257799277"/>
  </r>
  <r>
    <x v="10"/>
    <d v="2023-12-06T00:00:00"/>
    <d v="2023-12-25T00:00:00"/>
    <x v="7"/>
    <n v="9"/>
    <n v="63"/>
    <n v="1.371384551924467"/>
    <n v="1.2144685218974649"/>
    <n v="76.511516879540295"/>
    <n v="86.397226771241421"/>
    <n v="-9.8857098917011257"/>
    <n v="-0.8102616717116623"/>
    <n v="-10.695971563412789"/>
    <n v="0"/>
    <n v="0"/>
    <n v="0"/>
    <n v="-10.695971563412789"/>
  </r>
  <r>
    <x v="11"/>
    <d v="2024-01-03T00:00:00"/>
    <d v="2024-01-24T00:00:00"/>
    <x v="7"/>
    <n v="9"/>
    <n v="63"/>
    <n v="1.371384551924467"/>
    <n v="1.2144685218974649"/>
    <n v="76.511516879540295"/>
    <n v="86.397226771241421"/>
    <n v="-9.8857098917011257"/>
    <n v="-0.8102616717116623"/>
    <n v="-10.695971563412789"/>
    <n v="0"/>
    <n v="0"/>
    <n v="0"/>
    <n v="-10.695971563412789"/>
  </r>
  <r>
    <x v="0"/>
    <d v="2023-02-03T00:00:00"/>
    <d v="2023-02-24T00:00:00"/>
    <x v="8"/>
    <n v="9"/>
    <n v="967"/>
    <n v="1.371384551924467"/>
    <n v="1.2144685218974649"/>
    <n v="1174.3910606748486"/>
    <n v="1326.1288617109597"/>
    <n v="-151.73780103611102"/>
    <n v="-12.436873595955198"/>
    <n v="-164.17467463206623"/>
    <n v="0"/>
    <n v="0"/>
    <n v="0"/>
    <n v="-164.17467463206623"/>
  </r>
  <r>
    <x v="1"/>
    <d v="2023-03-03T00:00:00"/>
    <d v="2023-03-24T00:00:00"/>
    <x v="8"/>
    <n v="9"/>
    <n v="955"/>
    <n v="1.371384551924467"/>
    <n v="1.2144685218974649"/>
    <n v="1159.8174384120789"/>
    <n v="1309.672247087866"/>
    <n v="-149.85480867578713"/>
    <n v="-12.282538039438693"/>
    <n v="-162.13734671522582"/>
    <n v="0"/>
    <n v="0"/>
    <n v="0"/>
    <n v="-162.13734671522582"/>
  </r>
  <r>
    <x v="2"/>
    <d v="2023-04-05T00:00:00"/>
    <d v="2023-04-24T00:00:00"/>
    <x v="8"/>
    <n v="9"/>
    <n v="872"/>
    <n v="1.371384551924467"/>
    <n v="1.2144685218974649"/>
    <n v="1059.0165510945894"/>
    <n v="1195.8473292781352"/>
    <n v="-136.83077818354582"/>
    <n v="-11.215050440199517"/>
    <n v="-148.04582862374534"/>
    <n v="0"/>
    <n v="0"/>
    <n v="0"/>
    <n v="-148.04582862374534"/>
  </r>
  <r>
    <x v="3"/>
    <d v="2023-05-03T00:00:00"/>
    <d v="2023-05-24T00:00:00"/>
    <x v="8"/>
    <n v="9"/>
    <n v="602"/>
    <n v="1.371384551924467"/>
    <n v="1.2144685218974649"/>
    <n v="731.11005018227388"/>
    <n v="825.57350025852907"/>
    <n v="-94.463450076255185"/>
    <n v="-7.742500418578107"/>
    <n v="-102.20595049483329"/>
    <n v="0"/>
    <n v="0"/>
    <n v="0"/>
    <n v="-102.20595049483329"/>
  </r>
  <r>
    <x v="4"/>
    <d v="2023-06-05T00:00:00"/>
    <d v="2023-06-26T00:00:00"/>
    <x v="8"/>
    <n v="9"/>
    <n v="711"/>
    <n v="1.371384551924467"/>
    <n v="1.2144685218974649"/>
    <n v="863.4871190690975"/>
    <n v="975.054416418296"/>
    <n v="-111.5672973491985"/>
    <n v="-9.1443817236030469"/>
    <n v="-120.71167907280154"/>
    <n v="0"/>
    <n v="0"/>
    <n v="0"/>
    <n v="-120.71167907280154"/>
  </r>
  <r>
    <x v="5"/>
    <d v="2023-07-05T00:00:00"/>
    <d v="2023-07-24T00:00:00"/>
    <x v="8"/>
    <n v="9"/>
    <n v="936"/>
    <n v="1.371384551924467"/>
    <n v="1.2144685218974649"/>
    <n v="1136.7425364960272"/>
    <n v="1283.615940601301"/>
    <n v="-146.87340410527372"/>
    <n v="-12.038173408287557"/>
    <n v="-158.91157751356127"/>
    <n v="0"/>
    <n v="0"/>
    <n v="0"/>
    <n v="-158.91157751356127"/>
  </r>
  <r>
    <x v="6"/>
    <d v="2023-08-03T00:00:00"/>
    <d v="2023-08-24T00:00:00"/>
    <x v="8"/>
    <n v="9"/>
    <n v="932"/>
    <n v="1.371384551924467"/>
    <n v="1.2144685218974649"/>
    <n v="1131.8846624084372"/>
    <n v="1278.1304023936032"/>
    <n v="-146.24573998516598"/>
    <n v="-11.986728222782054"/>
    <n v="-158.23246820794805"/>
    <n v="0"/>
    <n v="0"/>
    <n v="0"/>
    <n v="-158.23246820794805"/>
  </r>
  <r>
    <x v="7"/>
    <d v="2023-09-05T00:00:00"/>
    <d v="2023-09-25T00:00:00"/>
    <x v="8"/>
    <n v="9"/>
    <n v="1025"/>
    <n v="1.371384551924467"/>
    <n v="1.2144685218974649"/>
    <n v="1244.8302349449016"/>
    <n v="1405.6691657225786"/>
    <n v="-160.83893077767698"/>
    <n v="-13.182828785784983"/>
    <n v="-174.02175956346196"/>
    <n v="0"/>
    <n v="0"/>
    <n v="0"/>
    <n v="-174.02175956346196"/>
  </r>
  <r>
    <x v="8"/>
    <d v="2023-10-04T00:00:00"/>
    <d v="2023-10-24T00:00:00"/>
    <x v="8"/>
    <n v="9"/>
    <n v="934"/>
    <n v="1.371384551924467"/>
    <n v="1.2144685218974649"/>
    <n v="1134.3135994522322"/>
    <n v="1280.8731714974522"/>
    <n v="-146.55957204521997"/>
    <n v="-12.012450815534804"/>
    <n v="-158.57202286075477"/>
    <n v="0"/>
    <n v="0"/>
    <n v="0"/>
    <n v="-158.57202286075477"/>
  </r>
  <r>
    <x v="9"/>
    <d v="2023-11-03T00:00:00"/>
    <d v="2023-11-24T00:00:00"/>
    <x v="8"/>
    <n v="9"/>
    <n v="700"/>
    <n v="1.371384551924467"/>
    <n v="1.2144685218974649"/>
    <n v="850.1279653282254"/>
    <n v="959.96918634712688"/>
    <n v="-109.84122101890148"/>
    <n v="-9.0029074634629147"/>
    <n v="-118.8441284823644"/>
    <n v="0"/>
    <n v="0"/>
    <n v="0"/>
    <n v="-118.8441284823644"/>
  </r>
  <r>
    <x v="10"/>
    <d v="2023-12-06T00:00:00"/>
    <d v="2023-12-25T00:00:00"/>
    <x v="8"/>
    <n v="9"/>
    <n v="867"/>
    <n v="1.371384551924467"/>
    <n v="1.2144685218974649"/>
    <n v="1052.9442084851021"/>
    <n v="1188.9904065185128"/>
    <n v="-136.04619803341075"/>
    <n v="-11.150743958317641"/>
    <n v="-147.19694199172838"/>
    <n v="0"/>
    <n v="0"/>
    <n v="0"/>
    <n v="-147.19694199172838"/>
  </r>
  <r>
    <x v="11"/>
    <d v="2024-01-03T00:00:00"/>
    <d v="2024-01-24T00:00:00"/>
    <x v="8"/>
    <n v="9"/>
    <n v="916"/>
    <n v="1.371384551924467"/>
    <n v="1.2144685218974649"/>
    <n v="1112.4531660580778"/>
    <n v="1256.1882495628117"/>
    <n v="-143.73508350473389"/>
    <n v="-11.780947480760044"/>
    <n v="-155.51603098549393"/>
    <n v="0"/>
    <n v="0"/>
    <n v="0"/>
    <n v="-155.51603098549393"/>
  </r>
  <r>
    <x v="0"/>
    <d v="2023-02-03T00:00:00"/>
    <d v="2023-02-24T00:00:00"/>
    <x v="9"/>
    <n v="9"/>
    <n v="6"/>
    <n v="1.371384551924467"/>
    <n v="1.2144685218974649"/>
    <n v="7.2868111313847894"/>
    <n v="8.2283073115468017"/>
    <n v="-0.94149618016201231"/>
    <n v="-7.7167778258253564E-2"/>
    <n v="-1.0186639584202659"/>
    <n v="0"/>
    <n v="0"/>
    <n v="0"/>
    <n v="-1.0186639584202659"/>
  </r>
  <r>
    <x v="1"/>
    <d v="2023-03-03T00:00:00"/>
    <d v="2023-03-24T00:00:00"/>
    <x v="9"/>
    <n v="9"/>
    <n v="5"/>
    <n v="1.371384551924467"/>
    <n v="1.2144685218974649"/>
    <n v="6.0723426094873245"/>
    <n v="6.8569227596223348"/>
    <n v="-0.78458015013501026"/>
    <n v="-6.4306481881877972E-2"/>
    <n v="-0.84888663201688819"/>
    <n v="0"/>
    <n v="0"/>
    <n v="0"/>
    <n v="-0.84888663201688819"/>
  </r>
  <r>
    <x v="2"/>
    <d v="2023-04-05T00:00:00"/>
    <d v="2023-04-24T00:00:00"/>
    <x v="9"/>
    <n v="9"/>
    <n v="5"/>
    <n v="1.371384551924467"/>
    <n v="1.2144685218974649"/>
    <n v="6.0723426094873245"/>
    <n v="6.8569227596223348"/>
    <n v="-0.78458015013501026"/>
    <n v="-6.4306481881877972E-2"/>
    <n v="-0.84888663201688819"/>
    <n v="0"/>
    <n v="0"/>
    <n v="0"/>
    <n v="-0.84888663201688819"/>
  </r>
  <r>
    <x v="3"/>
    <d v="2023-05-03T00:00:00"/>
    <d v="2023-05-24T00:00:00"/>
    <x v="9"/>
    <n v="9"/>
    <n v="7"/>
    <n v="1.371384551924467"/>
    <n v="1.2144685218974649"/>
    <n v="8.5012796532822534"/>
    <n v="9.5996918634712678"/>
    <n v="-1.0984122101890144"/>
    <n v="-9.0029074634629155E-2"/>
    <n v="-1.1884412848236434"/>
    <n v="0"/>
    <n v="0"/>
    <n v="0"/>
    <n v="-1.1884412848236434"/>
  </r>
  <r>
    <x v="4"/>
    <d v="2023-06-05T00:00:00"/>
    <d v="2023-06-26T00:00:00"/>
    <x v="9"/>
    <n v="9"/>
    <n v="4"/>
    <n v="1.371384551924467"/>
    <n v="1.2144685218974649"/>
    <n v="4.8578740875898596"/>
    <n v="5.4855382076978678"/>
    <n v="-0.62766412010800821"/>
    <n v="-5.1445185505502367E-2"/>
    <n v="-0.67910930561351057"/>
    <n v="0"/>
    <n v="0"/>
    <n v="0"/>
    <n v="-0.67910930561351057"/>
  </r>
  <r>
    <x v="5"/>
    <d v="2023-07-05T00:00:00"/>
    <d v="2023-07-24T00:00:00"/>
    <x v="9"/>
    <n v="9"/>
    <n v="14"/>
    <n v="1.371384551924467"/>
    <n v="1.2144685218974649"/>
    <n v="17.002559306564507"/>
    <n v="19.199383726942536"/>
    <n v="-2.1968244203780287"/>
    <n v="-0.18005814926925831"/>
    <n v="-2.3768825696472868"/>
    <n v="0"/>
    <n v="0"/>
    <n v="0"/>
    <n v="-2.3768825696472868"/>
  </r>
  <r>
    <x v="6"/>
    <d v="2023-08-03T00:00:00"/>
    <d v="2023-08-24T00:00:00"/>
    <x v="9"/>
    <n v="9"/>
    <n v="13"/>
    <n v="1.371384551924467"/>
    <n v="1.2144685218974649"/>
    <n v="15.788090784667045"/>
    <n v="17.827999175018071"/>
    <n v="-2.0399083903510267"/>
    <n v="-0.16719685289288269"/>
    <n v="-2.2071052432439093"/>
    <n v="0"/>
    <n v="0"/>
    <n v="0"/>
    <n v="-2.2071052432439093"/>
  </r>
  <r>
    <x v="7"/>
    <d v="2023-09-05T00:00:00"/>
    <d v="2023-09-25T00:00:00"/>
    <x v="9"/>
    <n v="9"/>
    <n v="19"/>
    <n v="1.371384551924467"/>
    <n v="1.2144685218974649"/>
    <n v="23.074901916051832"/>
    <n v="26.056306486564871"/>
    <n v="-2.981404570513039"/>
    <n v="-0.2443646311511363"/>
    <n v="-3.2257692016641752"/>
    <n v="0"/>
    <n v="0"/>
    <n v="0"/>
    <n v="-3.2257692016641752"/>
  </r>
  <r>
    <x v="8"/>
    <d v="2023-10-04T00:00:00"/>
    <d v="2023-10-24T00:00:00"/>
    <x v="9"/>
    <n v="9"/>
    <n v="18"/>
    <n v="1.371384551924467"/>
    <n v="1.2144685218974649"/>
    <n v="21.86043339415437"/>
    <n v="24.684921934640407"/>
    <n v="-2.8244885404860369"/>
    <n v="-0.23150333477476068"/>
    <n v="-3.0559918752607977"/>
    <n v="0"/>
    <n v="0"/>
    <n v="0"/>
    <n v="-3.0559918752607977"/>
  </r>
  <r>
    <x v="9"/>
    <d v="2023-11-03T00:00:00"/>
    <d v="2023-11-24T00:00:00"/>
    <x v="9"/>
    <n v="9"/>
    <n v="6"/>
    <n v="1.371384551924467"/>
    <n v="1.2144685218974649"/>
    <n v="7.2868111313847894"/>
    <n v="8.2283073115468017"/>
    <n v="-0.94149618016201231"/>
    <n v="-7.7167778258253564E-2"/>
    <n v="-1.0186639584202659"/>
    <n v="0"/>
    <n v="0"/>
    <n v="0"/>
    <n v="-1.0186639584202659"/>
  </r>
  <r>
    <x v="10"/>
    <d v="2023-12-06T00:00:00"/>
    <d v="2023-12-25T00:00:00"/>
    <x v="9"/>
    <n v="9"/>
    <n v="6"/>
    <n v="1.371384551924467"/>
    <n v="1.2144685218974649"/>
    <n v="7.2868111313847894"/>
    <n v="8.2283073115468017"/>
    <n v="-0.94149618016201231"/>
    <n v="-7.7167778258253564E-2"/>
    <n v="-1.0186639584202659"/>
    <n v="0"/>
    <n v="0"/>
    <n v="0"/>
    <n v="-1.0186639584202659"/>
  </r>
  <r>
    <x v="11"/>
    <d v="2024-01-03T00:00:00"/>
    <d v="2024-01-24T00:00:00"/>
    <x v="9"/>
    <n v="9"/>
    <n v="5"/>
    <n v="1.371384551924467"/>
    <n v="1.2144685218974649"/>
    <n v="6.0723426094873245"/>
    <n v="6.8569227596223348"/>
    <n v="-0.78458015013501026"/>
    <n v="-6.4306481881877972E-2"/>
    <n v="-0.84888663201688819"/>
    <n v="0"/>
    <n v="0"/>
    <n v="0"/>
    <n v="-0.84888663201688819"/>
  </r>
  <r>
    <x v="0"/>
    <d v="2023-02-03T00:00:00"/>
    <d v="2023-02-24T00:00:00"/>
    <x v="10"/>
    <n v="9"/>
    <n v="4"/>
    <n v="1.371384551924467"/>
    <n v="1.2144685218974649"/>
    <n v="4.8578740875898596"/>
    <n v="5.4855382076978678"/>
    <n v="-0.62766412010800821"/>
    <n v="-5.1445185505502367E-2"/>
    <n v="-0.67910930561351057"/>
    <n v="0"/>
    <n v="0"/>
    <n v="0"/>
    <n v="-0.67910930561351057"/>
  </r>
  <r>
    <x v="1"/>
    <d v="2023-03-03T00:00:00"/>
    <d v="2023-03-24T00:00:00"/>
    <x v="10"/>
    <n v="9"/>
    <n v="5"/>
    <n v="1.371384551924467"/>
    <n v="1.2144685218974649"/>
    <n v="6.0723426094873245"/>
    <n v="6.8569227596223348"/>
    <n v="-0.78458015013501026"/>
    <n v="-6.4306481881877972E-2"/>
    <n v="-0.84888663201688819"/>
    <n v="0"/>
    <n v="0"/>
    <n v="0"/>
    <n v="-0.84888663201688819"/>
  </r>
  <r>
    <x v="2"/>
    <d v="2023-04-05T00:00:00"/>
    <d v="2023-04-24T00:00:00"/>
    <x v="10"/>
    <n v="9"/>
    <n v="1"/>
    <n v="1.371384551924467"/>
    <n v="1.2144685218974649"/>
    <n v="1.2144685218974649"/>
    <n v="1.371384551924467"/>
    <n v="-0.15691603002700205"/>
    <n v="-1.2861296376375592E-2"/>
    <n v="-0.16977732640337764"/>
    <n v="0"/>
    <n v="0"/>
    <n v="0"/>
    <n v="-0.16977732640337764"/>
  </r>
  <r>
    <x v="3"/>
    <d v="2023-05-03T00:00:00"/>
    <d v="2023-05-24T00:00:00"/>
    <x v="10"/>
    <n v="9"/>
    <n v="7"/>
    <n v="1.371384551924467"/>
    <n v="1.2144685218974649"/>
    <n v="8.5012796532822534"/>
    <n v="9.5996918634712678"/>
    <n v="-1.0984122101890144"/>
    <n v="-9.0029074634629155E-2"/>
    <n v="-1.1884412848236434"/>
    <n v="0"/>
    <n v="0"/>
    <n v="0"/>
    <n v="-1.1884412848236434"/>
  </r>
  <r>
    <x v="4"/>
    <d v="2023-06-05T00:00:00"/>
    <d v="2023-06-26T00:00:00"/>
    <x v="10"/>
    <n v="9"/>
    <n v="3"/>
    <n v="1.371384551924467"/>
    <n v="1.2144685218974649"/>
    <n v="3.6434055656923947"/>
    <n v="4.1141536557734009"/>
    <n v="-0.47074809008100615"/>
    <n v="-3.8583889129126782E-2"/>
    <n v="-0.50933197921013296"/>
    <n v="0"/>
    <n v="0"/>
    <n v="0"/>
    <n v="-0.50933197921013296"/>
  </r>
  <r>
    <x v="5"/>
    <d v="2023-07-05T00:00:00"/>
    <d v="2023-07-24T00:00:00"/>
    <x v="10"/>
    <n v="9"/>
    <n v="7"/>
    <n v="1.371384551924467"/>
    <n v="1.2144685218974649"/>
    <n v="8.5012796532822534"/>
    <n v="9.5996918634712678"/>
    <n v="-1.0984122101890144"/>
    <n v="-9.0029074634629155E-2"/>
    <n v="-1.1884412848236434"/>
    <n v="0"/>
    <n v="0"/>
    <n v="0"/>
    <n v="-1.1884412848236434"/>
  </r>
  <r>
    <x v="6"/>
    <d v="2023-08-03T00:00:00"/>
    <d v="2023-08-24T00:00:00"/>
    <x v="10"/>
    <n v="9"/>
    <n v="5"/>
    <n v="1.371384551924467"/>
    <n v="1.2144685218974649"/>
    <n v="6.0723426094873245"/>
    <n v="6.8569227596223348"/>
    <n v="-0.78458015013501026"/>
    <n v="-6.4306481881877972E-2"/>
    <n v="-0.84888663201688819"/>
    <n v="0"/>
    <n v="0"/>
    <n v="0"/>
    <n v="-0.84888663201688819"/>
  </r>
  <r>
    <x v="7"/>
    <d v="2023-09-05T00:00:00"/>
    <d v="2023-09-25T00:00:00"/>
    <x v="10"/>
    <n v="9"/>
    <n v="5"/>
    <n v="1.371384551924467"/>
    <n v="1.2144685218974649"/>
    <n v="6.0723426094873245"/>
    <n v="6.8569227596223348"/>
    <n v="-0.78458015013501026"/>
    <n v="-6.4306481881877972E-2"/>
    <n v="-0.84888663201688819"/>
    <n v="0"/>
    <n v="0"/>
    <n v="0"/>
    <n v="-0.84888663201688819"/>
  </r>
  <r>
    <x v="8"/>
    <d v="2023-10-04T00:00:00"/>
    <d v="2023-10-24T00:00:00"/>
    <x v="10"/>
    <n v="9"/>
    <n v="6"/>
    <n v="1.371384551924467"/>
    <n v="1.2144685218974649"/>
    <n v="7.2868111313847894"/>
    <n v="8.2283073115468017"/>
    <n v="-0.94149618016201231"/>
    <n v="-7.7167778258253564E-2"/>
    <n v="-1.0186639584202659"/>
    <n v="0"/>
    <n v="0"/>
    <n v="0"/>
    <n v="-1.0186639584202659"/>
  </r>
  <r>
    <x v="9"/>
    <d v="2023-11-03T00:00:00"/>
    <d v="2023-11-24T00:00:00"/>
    <x v="10"/>
    <n v="9"/>
    <n v="5"/>
    <n v="1.371384551924467"/>
    <n v="1.2144685218974649"/>
    <n v="6.0723426094873245"/>
    <n v="6.8569227596223348"/>
    <n v="-0.78458015013501026"/>
    <n v="-6.4306481881877972E-2"/>
    <n v="-0.84888663201688819"/>
    <n v="0"/>
    <n v="0"/>
    <n v="0"/>
    <n v="-0.84888663201688819"/>
  </r>
  <r>
    <x v="10"/>
    <d v="2023-12-06T00:00:00"/>
    <d v="2023-12-25T00:00:00"/>
    <x v="10"/>
    <n v="9"/>
    <n v="4"/>
    <n v="1.371384551924467"/>
    <n v="1.2144685218974649"/>
    <n v="4.8578740875898596"/>
    <n v="5.4855382076978678"/>
    <n v="-0.62766412010800821"/>
    <n v="-5.1445185505502367E-2"/>
    <n v="-0.67910930561351057"/>
    <n v="0"/>
    <n v="0"/>
    <n v="0"/>
    <n v="-0.67910930561351057"/>
  </r>
  <r>
    <x v="11"/>
    <d v="2024-01-03T00:00:00"/>
    <d v="2024-01-24T00:00:00"/>
    <x v="10"/>
    <n v="9"/>
    <n v="4"/>
    <n v="1.371384551924467"/>
    <n v="1.2144685218974649"/>
    <n v="4.8578740875898596"/>
    <n v="5.4855382076978678"/>
    <n v="-0.62766412010800821"/>
    <n v="-5.1445185505502367E-2"/>
    <n v="-0.67910930561351057"/>
    <n v="0"/>
    <n v="0"/>
    <n v="0"/>
    <n v="-0.67910930561351057"/>
  </r>
  <r>
    <x v="0"/>
    <d v="2023-02-03T00:00:00"/>
    <d v="2023-02-24T00:00:00"/>
    <x v="11"/>
    <n v="9"/>
    <n v="113"/>
    <n v="1.371384551924467"/>
    <n v="1.2144685218974649"/>
    <n v="137.23494297441354"/>
    <n v="154.96645436746476"/>
    <n v="-17.731511393051221"/>
    <n v="-1.4533264905304419"/>
    <n v="-19.184837883581665"/>
    <n v="0"/>
    <n v="0"/>
    <n v="0"/>
    <n v="-19.184837883581665"/>
  </r>
  <r>
    <x v="1"/>
    <d v="2023-03-03T00:00:00"/>
    <d v="2023-03-24T00:00:00"/>
    <x v="11"/>
    <n v="9"/>
    <n v="108"/>
    <n v="1.371384551924467"/>
    <n v="1.2144685218974649"/>
    <n v="131.16260036492622"/>
    <n v="148.10953160784243"/>
    <n v="-16.946931242916207"/>
    <n v="-1.3890200086485642"/>
    <n v="-18.335951251564772"/>
    <n v="0"/>
    <n v="0"/>
    <n v="0"/>
    <n v="-18.335951251564772"/>
  </r>
  <r>
    <x v="2"/>
    <d v="2023-04-05T00:00:00"/>
    <d v="2023-04-24T00:00:00"/>
    <x v="11"/>
    <n v="9"/>
    <n v="96"/>
    <n v="1.371384551924467"/>
    <n v="1.2144685218974649"/>
    <n v="116.58897810215663"/>
    <n v="131.65291698474883"/>
    <n v="-15.063938882592197"/>
    <n v="-1.234684452132057"/>
    <n v="-16.298623334724255"/>
    <n v="0"/>
    <n v="0"/>
    <n v="0"/>
    <n v="-16.298623334724255"/>
  </r>
  <r>
    <x v="3"/>
    <d v="2023-05-03T00:00:00"/>
    <d v="2023-05-24T00:00:00"/>
    <x v="11"/>
    <n v="9"/>
    <n v="91"/>
    <n v="1.371384551924467"/>
    <n v="1.2144685218974649"/>
    <n v="110.51663549266931"/>
    <n v="124.79599422512649"/>
    <n v="-14.279358732457183"/>
    <n v="-1.1703779702501791"/>
    <n v="-15.449736702707362"/>
    <n v="0"/>
    <n v="0"/>
    <n v="0"/>
    <n v="-15.449736702707362"/>
  </r>
  <r>
    <x v="4"/>
    <d v="2023-06-05T00:00:00"/>
    <d v="2023-06-26T00:00:00"/>
    <x v="11"/>
    <n v="9"/>
    <n v="125"/>
    <n v="1.371384551924467"/>
    <n v="1.2144685218974649"/>
    <n v="151.8085652371831"/>
    <n v="171.42306899055836"/>
    <n v="-19.61450375337526"/>
    <n v="-1.6076620470469491"/>
    <n v="-21.222165800422211"/>
    <n v="0"/>
    <n v="0"/>
    <n v="0"/>
    <n v="-21.222165800422211"/>
  </r>
  <r>
    <x v="5"/>
    <d v="2023-07-05T00:00:00"/>
    <d v="2023-07-24T00:00:00"/>
    <x v="11"/>
    <n v="9"/>
    <n v="167"/>
    <n v="1.371384551924467"/>
    <n v="1.2144685218974649"/>
    <n v="202.81624315687665"/>
    <n v="229.02122017138598"/>
    <n v="-26.204977014509325"/>
    <n v="-2.1478364948547242"/>
    <n v="-28.352813509364047"/>
    <n v="0"/>
    <n v="0"/>
    <n v="0"/>
    <n v="-28.352813509364047"/>
  </r>
  <r>
    <x v="6"/>
    <d v="2023-08-03T00:00:00"/>
    <d v="2023-08-24T00:00:00"/>
    <x v="11"/>
    <n v="9"/>
    <n v="160"/>
    <n v="1.371384551924467"/>
    <n v="1.2144685218974649"/>
    <n v="194.31496350359438"/>
    <n v="219.42152830791471"/>
    <n v="-25.106564804320328"/>
    <n v="-2.0578074202200951"/>
    <n v="-27.164372224540422"/>
    <n v="0"/>
    <n v="0"/>
    <n v="0"/>
    <n v="-27.164372224540422"/>
  </r>
  <r>
    <x v="7"/>
    <d v="2023-09-05T00:00:00"/>
    <d v="2023-09-25T00:00:00"/>
    <x v="11"/>
    <n v="9"/>
    <n v="181"/>
    <n v="1.371384551924467"/>
    <n v="1.2144685218974649"/>
    <n v="219.81880246344116"/>
    <n v="248.22060389832851"/>
    <n v="-28.401801434887346"/>
    <n v="-2.3278946441239823"/>
    <n v="-30.72969607901133"/>
    <n v="0"/>
    <n v="0"/>
    <n v="0"/>
    <n v="-30.72969607901133"/>
  </r>
  <r>
    <x v="8"/>
    <d v="2023-10-04T00:00:00"/>
    <d v="2023-10-24T00:00:00"/>
    <x v="11"/>
    <n v="9"/>
    <n v="157"/>
    <n v="1.371384551924467"/>
    <n v="1.2144685218974649"/>
    <n v="190.67155793790198"/>
    <n v="215.30737465214131"/>
    <n v="-24.635816714239326"/>
    <n v="-2.0192235310909683"/>
    <n v="-26.655040245330294"/>
    <n v="0"/>
    <n v="0"/>
    <n v="0"/>
    <n v="-26.655040245330294"/>
  </r>
  <r>
    <x v="9"/>
    <d v="2023-11-03T00:00:00"/>
    <d v="2023-11-24T00:00:00"/>
    <x v="11"/>
    <n v="9"/>
    <n v="118"/>
    <n v="1.371384551924467"/>
    <n v="1.2144685218974649"/>
    <n v="143.30728558390086"/>
    <n v="161.8233771270871"/>
    <n v="-18.516091543186235"/>
    <n v="-1.5176329724123201"/>
    <n v="-20.033724515598553"/>
    <n v="0"/>
    <n v="0"/>
    <n v="0"/>
    <n v="-20.033724515598553"/>
  </r>
  <r>
    <x v="10"/>
    <d v="2023-12-06T00:00:00"/>
    <d v="2023-12-25T00:00:00"/>
    <x v="11"/>
    <n v="9"/>
    <n v="102"/>
    <n v="1.371384551924467"/>
    <n v="1.2144685218974649"/>
    <n v="123.87578923354143"/>
    <n v="139.88122429629564"/>
    <n v="-16.005435062754216"/>
    <n v="-1.3118522303903104"/>
    <n v="-17.317287293144528"/>
    <n v="0"/>
    <n v="0"/>
    <n v="0"/>
    <n v="-17.317287293144528"/>
  </r>
  <r>
    <x v="11"/>
    <d v="2024-01-03T00:00:00"/>
    <d v="2024-01-24T00:00:00"/>
    <x v="11"/>
    <n v="9"/>
    <n v="99"/>
    <n v="1.371384551924467"/>
    <n v="1.2144685218974649"/>
    <n v="120.23238366784902"/>
    <n v="135.76707064052223"/>
    <n v="-15.534686972673214"/>
    <n v="-1.2732683412611838"/>
    <n v="-16.807955313934396"/>
    <n v="0"/>
    <n v="0"/>
    <n v="0"/>
    <n v="-16.807955313934396"/>
  </r>
  <r>
    <x v="0"/>
    <d v="2023-02-03T00:00:00"/>
    <d v="2023-02-24T00:00:00"/>
    <x v="12"/>
    <n v="9"/>
    <n v="7"/>
    <n v="1.371384551924467"/>
    <n v="1.2144685218974649"/>
    <n v="8.5012796532822534"/>
    <n v="9.5996918634712678"/>
    <n v="-1.0984122101890144"/>
    <n v="-9.0029074634629155E-2"/>
    <n v="-1.1884412848236434"/>
    <n v="0"/>
    <n v="0"/>
    <n v="0"/>
    <n v="-1.1884412848236434"/>
  </r>
  <r>
    <x v="1"/>
    <d v="2023-03-03T00:00:00"/>
    <d v="2023-03-24T00:00:00"/>
    <x v="12"/>
    <n v="9"/>
    <n v="10"/>
    <n v="1.371384551924467"/>
    <n v="1.2144685218974649"/>
    <n v="12.144685218974649"/>
    <n v="13.71384551924467"/>
    <n v="-1.5691603002700205"/>
    <n v="-0.12861296376375594"/>
    <n v="-1.6977732640337764"/>
    <n v="0"/>
    <n v="0"/>
    <n v="0"/>
    <n v="-1.6977732640337764"/>
  </r>
  <r>
    <x v="2"/>
    <d v="2023-04-05T00:00:00"/>
    <d v="2023-04-24T00:00:00"/>
    <x v="12"/>
    <n v="9"/>
    <n v="8"/>
    <n v="1.371384551924467"/>
    <n v="1.2144685218974649"/>
    <n v="9.7157481751797192"/>
    <n v="10.971076415395736"/>
    <n v="-1.2553282402160164"/>
    <n v="-0.10289037101100473"/>
    <n v="-1.3582186112270211"/>
    <n v="0"/>
    <n v="0"/>
    <n v="0"/>
    <n v="-1.3582186112270211"/>
  </r>
  <r>
    <x v="3"/>
    <d v="2023-05-03T00:00:00"/>
    <d v="2023-05-24T00:00:00"/>
    <x v="12"/>
    <n v="9"/>
    <n v="8"/>
    <n v="1.371384551924467"/>
    <n v="1.2144685218974649"/>
    <n v="9.7157481751797192"/>
    <n v="10.971076415395736"/>
    <n v="-1.2553282402160164"/>
    <n v="-0.10289037101100473"/>
    <n v="-1.3582186112270211"/>
    <n v="0"/>
    <n v="0"/>
    <n v="0"/>
    <n v="-1.3582186112270211"/>
  </r>
  <r>
    <x v="4"/>
    <d v="2023-06-05T00:00:00"/>
    <d v="2023-06-26T00:00:00"/>
    <x v="12"/>
    <n v="9"/>
    <n v="10"/>
    <n v="1.371384551924467"/>
    <n v="1.2144685218974649"/>
    <n v="12.144685218974649"/>
    <n v="13.71384551924467"/>
    <n v="-1.5691603002700205"/>
    <n v="-0.12861296376375594"/>
    <n v="-1.6977732640337764"/>
    <n v="0"/>
    <n v="0"/>
    <n v="0"/>
    <n v="-1.6977732640337764"/>
  </r>
  <r>
    <x v="5"/>
    <d v="2023-07-05T00:00:00"/>
    <d v="2023-07-24T00:00:00"/>
    <x v="12"/>
    <n v="9"/>
    <n v="12"/>
    <n v="1.371384551924467"/>
    <n v="1.2144685218974649"/>
    <n v="14.573622262769579"/>
    <n v="16.456614623093603"/>
    <n v="-1.8829923603240246"/>
    <n v="-0.15433555651650713"/>
    <n v="-2.0373279168405318"/>
    <n v="0"/>
    <n v="0"/>
    <n v="0"/>
    <n v="-2.0373279168405318"/>
  </r>
  <r>
    <x v="6"/>
    <d v="2023-08-03T00:00:00"/>
    <d v="2023-08-24T00:00:00"/>
    <x v="12"/>
    <n v="9"/>
    <n v="14"/>
    <n v="1.371384551924467"/>
    <n v="1.2144685218974649"/>
    <n v="17.002559306564507"/>
    <n v="19.199383726942536"/>
    <n v="-2.1968244203780287"/>
    <n v="-0.18005814926925831"/>
    <n v="-2.3768825696472868"/>
    <n v="0"/>
    <n v="0"/>
    <n v="0"/>
    <n v="-2.3768825696472868"/>
  </r>
  <r>
    <x v="7"/>
    <d v="2023-09-05T00:00:00"/>
    <d v="2023-09-25T00:00:00"/>
    <x v="12"/>
    <n v="9"/>
    <n v="13"/>
    <n v="1.371384551924467"/>
    <n v="1.2144685218974649"/>
    <n v="15.788090784667045"/>
    <n v="17.827999175018071"/>
    <n v="-2.0399083903510267"/>
    <n v="-0.16719685289288269"/>
    <n v="-2.2071052432439093"/>
    <n v="0"/>
    <n v="0"/>
    <n v="0"/>
    <n v="-2.2071052432439093"/>
  </r>
  <r>
    <x v="8"/>
    <d v="2023-10-04T00:00:00"/>
    <d v="2023-10-24T00:00:00"/>
    <x v="12"/>
    <n v="9"/>
    <n v="13"/>
    <n v="1.371384551924467"/>
    <n v="1.2144685218974649"/>
    <n v="15.788090784667045"/>
    <n v="17.827999175018071"/>
    <n v="-2.0399083903510267"/>
    <n v="-0.16719685289288269"/>
    <n v="-2.2071052432439093"/>
    <n v="0"/>
    <n v="0"/>
    <n v="0"/>
    <n v="-2.2071052432439093"/>
  </r>
  <r>
    <x v="9"/>
    <d v="2023-11-03T00:00:00"/>
    <d v="2023-11-24T00:00:00"/>
    <x v="12"/>
    <n v="9"/>
    <n v="11"/>
    <n v="1.371384551924467"/>
    <n v="1.2144685218974649"/>
    <n v="13.359153740872113"/>
    <n v="15.085230071169136"/>
    <n v="-1.7260763302970226"/>
    <n v="-0.14147426014013154"/>
    <n v="-1.8675505904371541"/>
    <n v="0"/>
    <n v="0"/>
    <n v="0"/>
    <n v="-1.8675505904371541"/>
  </r>
  <r>
    <x v="10"/>
    <d v="2023-12-06T00:00:00"/>
    <d v="2023-12-25T00:00:00"/>
    <x v="12"/>
    <n v="9"/>
    <n v="7"/>
    <n v="1.371384551924467"/>
    <n v="1.2144685218974649"/>
    <n v="8.5012796532822534"/>
    <n v="9.5996918634712678"/>
    <n v="-1.0984122101890144"/>
    <n v="-9.0029074634629155E-2"/>
    <n v="-1.1884412848236434"/>
    <n v="0"/>
    <n v="0"/>
    <n v="0"/>
    <n v="-1.1884412848236434"/>
  </r>
  <r>
    <x v="11"/>
    <d v="2024-01-03T00:00:00"/>
    <d v="2024-01-24T00:00:00"/>
    <x v="12"/>
    <n v="9"/>
    <n v="8"/>
    <n v="1.371384551924467"/>
    <n v="1.2144685218974649"/>
    <n v="9.7157481751797192"/>
    <n v="10.971076415395736"/>
    <n v="-1.2553282402160164"/>
    <n v="-0.10289037101100473"/>
    <n v="-1.3582186112270211"/>
    <n v="0"/>
    <n v="0"/>
    <n v="0"/>
    <n v="-1.3582186112270211"/>
  </r>
  <r>
    <x v="0"/>
    <d v="2023-02-03T00:00:00"/>
    <d v="2023-02-24T00:00:00"/>
    <x v="13"/>
    <n v="9"/>
    <n v="21"/>
    <n v="1.371384551924467"/>
    <n v="1.2144685218974649"/>
    <n v="25.503838959846764"/>
    <n v="28.799075590413807"/>
    <n v="-3.2952366305670431"/>
    <n v="-0.27008722390388745"/>
    <n v="-3.5653238544709307"/>
    <n v="0"/>
    <n v="0"/>
    <n v="0"/>
    <n v="-3.5653238544709307"/>
  </r>
  <r>
    <x v="1"/>
    <d v="2023-03-03T00:00:00"/>
    <d v="2023-03-24T00:00:00"/>
    <x v="13"/>
    <n v="9"/>
    <n v="21"/>
    <n v="1.371384551924467"/>
    <n v="1.2144685218974649"/>
    <n v="25.503838959846764"/>
    <n v="28.799075590413807"/>
    <n v="-3.2952366305670431"/>
    <n v="-0.27008722390388745"/>
    <n v="-3.5653238544709307"/>
    <n v="0"/>
    <n v="0"/>
    <n v="0"/>
    <n v="-3.5653238544709307"/>
  </r>
  <r>
    <x v="2"/>
    <d v="2023-04-05T00:00:00"/>
    <d v="2023-04-24T00:00:00"/>
    <x v="13"/>
    <n v="9"/>
    <n v="19"/>
    <n v="1.371384551924467"/>
    <n v="1.2144685218974649"/>
    <n v="23.074901916051832"/>
    <n v="26.056306486564871"/>
    <n v="-2.981404570513039"/>
    <n v="-0.2443646311511363"/>
    <n v="-3.2257692016641752"/>
    <n v="0"/>
    <n v="0"/>
    <n v="0"/>
    <n v="-3.2257692016641752"/>
  </r>
  <r>
    <x v="3"/>
    <d v="2023-05-03T00:00:00"/>
    <d v="2023-05-24T00:00:00"/>
    <x v="13"/>
    <n v="9"/>
    <n v="21"/>
    <n v="1.371384551924467"/>
    <n v="1.2144685218974649"/>
    <n v="25.503838959846764"/>
    <n v="28.799075590413807"/>
    <n v="-3.2952366305670431"/>
    <n v="-0.27008722390388745"/>
    <n v="-3.5653238544709307"/>
    <n v="0"/>
    <n v="0"/>
    <n v="0"/>
    <n v="-3.5653238544709307"/>
  </r>
  <r>
    <x v="4"/>
    <d v="2023-06-05T00:00:00"/>
    <d v="2023-06-26T00:00:00"/>
    <x v="13"/>
    <n v="9"/>
    <n v="28"/>
    <n v="1.371384551924467"/>
    <n v="1.2144685218974649"/>
    <n v="34.005118613129014"/>
    <n v="38.398767453885071"/>
    <n v="-4.3936488407560574"/>
    <n v="-0.36011629853851662"/>
    <n v="-4.7537651392945737"/>
    <n v="0"/>
    <n v="0"/>
    <n v="0"/>
    <n v="-4.7537651392945737"/>
  </r>
  <r>
    <x v="5"/>
    <d v="2023-07-05T00:00:00"/>
    <d v="2023-07-24T00:00:00"/>
    <x v="13"/>
    <n v="9"/>
    <n v="37"/>
    <n v="1.371384551924467"/>
    <n v="1.2144685218974649"/>
    <n v="44.935335310206199"/>
    <n v="50.741228421205278"/>
    <n v="-5.8058931109990795"/>
    <n v="-0.47586796592589692"/>
    <n v="-6.2817610769249761"/>
    <n v="0"/>
    <n v="0"/>
    <n v="0"/>
    <n v="-6.2817610769249761"/>
  </r>
  <r>
    <x v="6"/>
    <d v="2023-08-03T00:00:00"/>
    <d v="2023-08-24T00:00:00"/>
    <x v="13"/>
    <n v="9"/>
    <n v="38"/>
    <n v="1.371384551924467"/>
    <n v="1.2144685218974649"/>
    <n v="46.149803832103665"/>
    <n v="52.112612973129742"/>
    <n v="-5.962809141026078"/>
    <n v="-0.48872926230227259"/>
    <n v="-6.4515384033283505"/>
    <n v="0"/>
    <n v="0"/>
    <n v="0"/>
    <n v="-6.4515384033283505"/>
  </r>
  <r>
    <x v="7"/>
    <d v="2023-09-05T00:00:00"/>
    <d v="2023-09-25T00:00:00"/>
    <x v="13"/>
    <n v="9"/>
    <n v="40"/>
    <n v="1.371384551924467"/>
    <n v="1.2144685218974649"/>
    <n v="48.578740875898596"/>
    <n v="54.855382076978678"/>
    <n v="-6.2766412010800821"/>
    <n v="-0.51445185505502378"/>
    <n v="-6.7910930561351055"/>
    <n v="0"/>
    <n v="0"/>
    <n v="0"/>
    <n v="-6.7910930561351055"/>
  </r>
  <r>
    <x v="8"/>
    <d v="2023-10-04T00:00:00"/>
    <d v="2023-10-24T00:00:00"/>
    <x v="13"/>
    <n v="9"/>
    <n v="37"/>
    <n v="1.371384551924467"/>
    <n v="1.2144685218974649"/>
    <n v="44.935335310206199"/>
    <n v="50.741228421205278"/>
    <n v="-5.8058931109990795"/>
    <n v="-0.47586796592589692"/>
    <n v="-6.2817610769249761"/>
    <n v="0"/>
    <n v="0"/>
    <n v="0"/>
    <n v="-6.2817610769249761"/>
  </r>
  <r>
    <x v="9"/>
    <d v="2023-11-03T00:00:00"/>
    <d v="2023-11-24T00:00:00"/>
    <x v="13"/>
    <n v="9"/>
    <n v="30"/>
    <n v="1.371384551924467"/>
    <n v="1.2144685218974649"/>
    <n v="36.434055656923945"/>
    <n v="41.141536557734007"/>
    <n v="-4.7074809008100615"/>
    <n v="-0.3858388912912678"/>
    <n v="-5.0933197921013296"/>
    <n v="0"/>
    <n v="0"/>
    <n v="0"/>
    <n v="-5.0933197921013296"/>
  </r>
  <r>
    <x v="10"/>
    <d v="2023-12-06T00:00:00"/>
    <d v="2023-12-25T00:00:00"/>
    <x v="13"/>
    <n v="9"/>
    <n v="19"/>
    <n v="1.371384551924467"/>
    <n v="1.2144685218974649"/>
    <n v="23.074901916051832"/>
    <n v="26.056306486564871"/>
    <n v="-2.981404570513039"/>
    <n v="-0.2443646311511363"/>
    <n v="-3.2257692016641752"/>
    <n v="0"/>
    <n v="0"/>
    <n v="0"/>
    <n v="-3.2257692016641752"/>
  </r>
  <r>
    <x v="11"/>
    <d v="2024-01-03T00:00:00"/>
    <d v="2024-01-24T00:00:00"/>
    <x v="13"/>
    <n v="9"/>
    <n v="20"/>
    <n v="1.371384551924467"/>
    <n v="1.2144685218974649"/>
    <n v="24.289370437949298"/>
    <n v="27.427691038489339"/>
    <n v="-3.138320600540041"/>
    <n v="-0.25722592752751189"/>
    <n v="-3.3955465280675527"/>
    <n v="0"/>
    <n v="0"/>
    <n v="0"/>
    <n v="-3.3955465280675527"/>
  </r>
  <r>
    <x v="0"/>
    <d v="2023-02-03T00:00:00"/>
    <d v="2023-02-24T00:00:00"/>
    <x v="14"/>
    <n v="9"/>
    <n v="36"/>
    <n v="1.371384551924467"/>
    <n v="1.2144685218974649"/>
    <n v="43.72086678830874"/>
    <n v="49.369843869280814"/>
    <n v="-5.6489770809720738"/>
    <n v="-0.46300666954952135"/>
    <n v="-6.1119837505215955"/>
    <n v="0"/>
    <n v="0"/>
    <n v="0"/>
    <n v="-6.1119837505215955"/>
  </r>
  <r>
    <x v="1"/>
    <d v="2023-03-03T00:00:00"/>
    <d v="2023-03-24T00:00:00"/>
    <x v="14"/>
    <n v="9"/>
    <n v="32"/>
    <n v="1.371384551924467"/>
    <n v="1.2144685218974649"/>
    <n v="38.862992700718877"/>
    <n v="43.884305661582943"/>
    <n v="-5.0213129608640656"/>
    <n v="-0.41156148404401893"/>
    <n v="-5.4328744449080846"/>
    <n v="0"/>
    <n v="0"/>
    <n v="0"/>
    <n v="-5.4328744449080846"/>
  </r>
  <r>
    <x v="2"/>
    <d v="2023-04-05T00:00:00"/>
    <d v="2023-04-24T00:00:00"/>
    <x v="14"/>
    <n v="9"/>
    <n v="32"/>
    <n v="1.371384551924467"/>
    <n v="1.2144685218974649"/>
    <n v="38.862992700718877"/>
    <n v="43.884305661582943"/>
    <n v="-5.0213129608640656"/>
    <n v="-0.41156148404401893"/>
    <n v="-5.4328744449080846"/>
    <n v="0"/>
    <n v="0"/>
    <n v="0"/>
    <n v="-5.4328744449080846"/>
  </r>
  <r>
    <x v="3"/>
    <d v="2023-05-03T00:00:00"/>
    <d v="2023-05-24T00:00:00"/>
    <x v="14"/>
    <n v="9"/>
    <n v="31"/>
    <n v="1.371384551924467"/>
    <n v="1.2144685218974649"/>
    <n v="37.648524178821411"/>
    <n v="42.512921109658478"/>
    <n v="-4.8643969308370671"/>
    <n v="-0.39870018766764337"/>
    <n v="-5.2630971185047102"/>
    <n v="0"/>
    <n v="0"/>
    <n v="0"/>
    <n v="-5.2630971185047102"/>
  </r>
  <r>
    <x v="4"/>
    <d v="2023-06-05T00:00:00"/>
    <d v="2023-06-26T00:00:00"/>
    <x v="14"/>
    <n v="9"/>
    <n v="38"/>
    <n v="1.371384551924467"/>
    <n v="1.2144685218974649"/>
    <n v="46.149803832103665"/>
    <n v="52.112612973129742"/>
    <n v="-5.962809141026078"/>
    <n v="-0.48872926230227259"/>
    <n v="-6.4515384033283505"/>
    <n v="0"/>
    <n v="0"/>
    <n v="0"/>
    <n v="-6.4515384033283505"/>
  </r>
  <r>
    <x v="5"/>
    <d v="2023-07-05T00:00:00"/>
    <d v="2023-07-24T00:00:00"/>
    <x v="14"/>
    <n v="9"/>
    <n v="48"/>
    <n v="1.371384551924467"/>
    <n v="1.2144685218974649"/>
    <n v="58.294489051078315"/>
    <n v="65.826458492374414"/>
    <n v="-7.5319694412960985"/>
    <n v="-0.61734222606602851"/>
    <n v="-8.1493116673621273"/>
    <n v="0"/>
    <n v="0"/>
    <n v="0"/>
    <n v="-8.1493116673621273"/>
  </r>
  <r>
    <x v="6"/>
    <d v="2023-08-03T00:00:00"/>
    <d v="2023-08-24T00:00:00"/>
    <x v="14"/>
    <n v="9"/>
    <n v="49"/>
    <n v="1.371384551924467"/>
    <n v="1.2144685218974649"/>
    <n v="59.508957572975781"/>
    <n v="67.197843044298878"/>
    <n v="-7.688885471323097"/>
    <n v="-0.63020352244240407"/>
    <n v="-8.3190889937655008"/>
    <n v="0"/>
    <n v="0"/>
    <n v="0"/>
    <n v="-8.3190889937655008"/>
  </r>
  <r>
    <x v="7"/>
    <d v="2023-09-05T00:00:00"/>
    <d v="2023-09-25T00:00:00"/>
    <x v="14"/>
    <n v="9"/>
    <n v="50"/>
    <n v="1.371384551924467"/>
    <n v="1.2144685218974649"/>
    <n v="60.723426094873247"/>
    <n v="68.569227596223342"/>
    <n v="-7.8458015013500955"/>
    <n v="-0.64306481881877964"/>
    <n v="-8.4888663201688743"/>
    <n v="0"/>
    <n v="0"/>
    <n v="0"/>
    <n v="-8.4888663201688743"/>
  </r>
  <r>
    <x v="8"/>
    <d v="2023-10-04T00:00:00"/>
    <d v="2023-10-24T00:00:00"/>
    <x v="14"/>
    <n v="9"/>
    <n v="47"/>
    <n v="1.371384551924467"/>
    <n v="1.2144685218974649"/>
    <n v="57.08002052918085"/>
    <n v="64.45507394044995"/>
    <n v="-7.3750534112691"/>
    <n v="-0.60448092968965284"/>
    <n v="-7.9795343409587529"/>
    <n v="0"/>
    <n v="0"/>
    <n v="0"/>
    <n v="-7.9795343409587529"/>
  </r>
  <r>
    <x v="9"/>
    <d v="2023-11-03T00:00:00"/>
    <d v="2023-11-24T00:00:00"/>
    <x v="14"/>
    <n v="9"/>
    <n v="36"/>
    <n v="1.371384551924467"/>
    <n v="1.2144685218974649"/>
    <n v="43.72086678830874"/>
    <n v="49.369843869280814"/>
    <n v="-5.6489770809720738"/>
    <n v="-0.46300666954952135"/>
    <n v="-6.1119837505215955"/>
    <n v="0"/>
    <n v="0"/>
    <n v="0"/>
    <n v="-6.1119837505215955"/>
  </r>
  <r>
    <x v="10"/>
    <d v="2023-12-06T00:00:00"/>
    <d v="2023-12-25T00:00:00"/>
    <x v="14"/>
    <n v="9"/>
    <n v="26"/>
    <n v="1.371384551924467"/>
    <n v="1.2144685218974649"/>
    <n v="31.576181569334089"/>
    <n v="35.655998350036143"/>
    <n v="-4.0798167807020533"/>
    <n v="-0.33439370578576538"/>
    <n v="-4.4142104864878187"/>
    <n v="0"/>
    <n v="0"/>
    <n v="0"/>
    <n v="-4.4142104864878187"/>
  </r>
  <r>
    <x v="11"/>
    <d v="2024-01-03T00:00:00"/>
    <d v="2024-01-24T00:00:00"/>
    <x v="14"/>
    <n v="9"/>
    <n v="31"/>
    <n v="1.371384551924467"/>
    <n v="1.2144685218974649"/>
    <n v="37.648524178821411"/>
    <n v="42.512921109658478"/>
    <n v="-4.8643969308370671"/>
    <n v="-0.39870018766764337"/>
    <n v="-5.2630971185047102"/>
    <n v="0"/>
    <n v="0"/>
    <n v="0"/>
    <n v="-5.2630971185047102"/>
  </r>
  <r>
    <x v="0"/>
    <d v="2023-02-03T00:00:00"/>
    <d v="2023-02-24T00:00:00"/>
    <x v="15"/>
    <n v="9"/>
    <n v="104"/>
    <n v="1.371384551924467"/>
    <n v="1.2144685218974649"/>
    <n v="126.30472627733636"/>
    <n v="142.62399340014457"/>
    <n v="-16.319267122808213"/>
    <n v="-1.3375748231430615"/>
    <n v="-17.656841945951275"/>
    <n v="0"/>
    <n v="0"/>
    <n v="0"/>
    <n v="-17.656841945951275"/>
  </r>
  <r>
    <x v="1"/>
    <d v="2023-03-03T00:00:00"/>
    <d v="2023-03-24T00:00:00"/>
    <x v="15"/>
    <n v="9"/>
    <n v="107"/>
    <n v="1.371384551924467"/>
    <n v="1.2144685218974649"/>
    <n v="129.94813184302873"/>
    <n v="146.73814705591798"/>
    <n v="-16.790015212889244"/>
    <n v="-1.3761587122721886"/>
    <n v="-18.166173925161434"/>
    <n v="0"/>
    <n v="0"/>
    <n v="0"/>
    <n v="-18.166173925161434"/>
  </r>
  <r>
    <x v="2"/>
    <d v="2023-04-05T00:00:00"/>
    <d v="2023-04-24T00:00:00"/>
    <x v="15"/>
    <n v="9"/>
    <n v="103"/>
    <n v="1.371384551924467"/>
    <n v="1.2144685218974649"/>
    <n v="125.09025775543888"/>
    <n v="141.25260884822009"/>
    <n v="-16.162351092781208"/>
    <n v="-1.3247135267666861"/>
    <n v="-17.487064619547894"/>
    <n v="0"/>
    <n v="0"/>
    <n v="0"/>
    <n v="-17.487064619547894"/>
  </r>
  <r>
    <x v="3"/>
    <d v="2023-05-03T00:00:00"/>
    <d v="2023-05-24T00:00:00"/>
    <x v="15"/>
    <n v="9"/>
    <n v="98"/>
    <n v="1.371384551924467"/>
    <n v="1.2144685218974649"/>
    <n v="119.01791514595156"/>
    <n v="134.39568608859776"/>
    <n v="-15.377770942646194"/>
    <n v="-1.2604070448848081"/>
    <n v="-16.638177987531002"/>
    <n v="0"/>
    <n v="0"/>
    <n v="0"/>
    <n v="-16.638177987531002"/>
  </r>
  <r>
    <x v="4"/>
    <d v="2023-06-05T00:00:00"/>
    <d v="2023-06-26T00:00:00"/>
    <x v="15"/>
    <n v="9"/>
    <n v="105"/>
    <n v="1.371384551924467"/>
    <n v="1.2144685218974649"/>
    <n v="127.51919479923382"/>
    <n v="143.99537795206902"/>
    <n v="-16.476183152835205"/>
    <n v="-1.3504361195194372"/>
    <n v="-17.826619272354641"/>
    <n v="0"/>
    <n v="0"/>
    <n v="0"/>
    <n v="-17.826619272354641"/>
  </r>
  <r>
    <x v="5"/>
    <d v="2023-07-05T00:00:00"/>
    <d v="2023-07-24T00:00:00"/>
    <x v="15"/>
    <n v="9"/>
    <n v="115"/>
    <n v="1.371384551924467"/>
    <n v="1.2144685218974649"/>
    <n v="139.66388001820846"/>
    <n v="157.70922347131369"/>
    <n v="-18.045343453105232"/>
    <n v="-1.4790490832831931"/>
    <n v="-19.524392536388426"/>
    <n v="0"/>
    <n v="0"/>
    <n v="0"/>
    <n v="-19.524392536388426"/>
  </r>
  <r>
    <x v="6"/>
    <d v="2023-08-03T00:00:00"/>
    <d v="2023-08-24T00:00:00"/>
    <x v="15"/>
    <n v="9"/>
    <n v="110"/>
    <n v="1.371384551924467"/>
    <n v="1.2144685218974649"/>
    <n v="133.59153740872114"/>
    <n v="150.85230071169136"/>
    <n v="-17.260763302970219"/>
    <n v="-1.4147426014013154"/>
    <n v="-18.675505904371533"/>
    <n v="0"/>
    <n v="0"/>
    <n v="0"/>
    <n v="-18.675505904371533"/>
  </r>
  <r>
    <x v="7"/>
    <d v="2023-09-05T00:00:00"/>
    <d v="2023-09-25T00:00:00"/>
    <x v="15"/>
    <n v="9"/>
    <n v="109"/>
    <n v="1.371384551924467"/>
    <n v="1.2144685218974649"/>
    <n v="132.37706888682368"/>
    <n v="149.48091615976691"/>
    <n v="-17.103847272943227"/>
    <n v="-1.4018813050249397"/>
    <n v="-18.505728577968167"/>
    <n v="0"/>
    <n v="0"/>
    <n v="0"/>
    <n v="-18.505728577968167"/>
  </r>
  <r>
    <x v="8"/>
    <d v="2023-10-04T00:00:00"/>
    <d v="2023-10-24T00:00:00"/>
    <x v="15"/>
    <n v="9"/>
    <n v="112"/>
    <n v="1.371384551924467"/>
    <n v="1.2144685218974649"/>
    <n v="136.02047445251605"/>
    <n v="153.59506981554028"/>
    <n v="-17.57459536302423"/>
    <n v="-1.4404651941540665"/>
    <n v="-19.015060557178295"/>
    <n v="0"/>
    <n v="0"/>
    <n v="0"/>
    <n v="-19.015060557178295"/>
  </r>
  <r>
    <x v="9"/>
    <d v="2023-11-03T00:00:00"/>
    <d v="2023-11-24T00:00:00"/>
    <x v="15"/>
    <n v="9"/>
    <n v="107"/>
    <n v="1.371384551924467"/>
    <n v="1.2144685218974649"/>
    <n v="129.94813184302873"/>
    <n v="146.73814705591798"/>
    <n v="-16.790015212889244"/>
    <n v="-1.3761587122721886"/>
    <n v="-18.166173925161434"/>
    <n v="0"/>
    <n v="0"/>
    <n v="0"/>
    <n v="-18.166173925161434"/>
  </r>
  <r>
    <x v="10"/>
    <d v="2023-12-06T00:00:00"/>
    <d v="2023-12-25T00:00:00"/>
    <x v="15"/>
    <n v="9"/>
    <n v="104"/>
    <n v="1.371384551924467"/>
    <n v="1.2144685218974649"/>
    <n v="126.30472627733636"/>
    <n v="142.62399340014457"/>
    <n v="-16.319267122808213"/>
    <n v="-1.3375748231430615"/>
    <n v="-17.656841945951275"/>
    <n v="0"/>
    <n v="0"/>
    <n v="0"/>
    <n v="-17.656841945951275"/>
  </r>
  <r>
    <x v="11"/>
    <d v="2024-01-03T00:00:00"/>
    <d v="2024-01-24T00:00:00"/>
    <x v="15"/>
    <n v="9"/>
    <n v="101"/>
    <n v="1.371384551924467"/>
    <n v="1.2144685218974649"/>
    <n v="122.66132071164395"/>
    <n v="138.50983974437116"/>
    <n v="-15.848519032727211"/>
    <n v="-1.298990934013935"/>
    <n v="-17.147509966741147"/>
    <n v="0"/>
    <n v="0"/>
    <n v="0"/>
    <n v="-17.14750996674114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60" dataOnRows="1" applyNumberFormats="0" applyBorderFormats="0" applyFontFormats="0" applyPatternFormats="0" applyAlignmentFormats="0" applyWidthHeightFormats="1" dataCaption="Data" updatedVersion="8" minRefreshableVersion="3" asteriskTotals="1" showMemberPropertyTips="0" useAutoFormatting="1" itemPrintTitles="1" createdVersion="6" indent="0" compact="0" compactData="0" gridDropZones="1">
  <location ref="A3:O123" firstHeaderRow="1" firstDataRow="2" firstDataCol="2"/>
  <pivotFields count="17">
    <pivotField axis="axisCol" compact="0" numFmtId="17" outline="0" subtotalTop="0" showAll="0" includeNewItemsInFilter="1">
      <items count="169">
        <item m="1" x="69"/>
        <item m="1" x="93"/>
        <item m="1" x="117"/>
        <item m="1" x="141"/>
        <item m="1" x="165"/>
        <item m="1" x="45"/>
        <item m="1" x="80"/>
        <item m="1" x="104"/>
        <item m="1" x="128"/>
        <item m="1" x="152"/>
        <item m="1" x="32"/>
        <item m="1" x="56"/>
        <item m="1" x="70"/>
        <item m="1" x="94"/>
        <item m="1" x="118"/>
        <item m="1" x="142"/>
        <item m="1" x="166"/>
        <item m="1" x="46"/>
        <item m="1" x="82"/>
        <item m="1" x="106"/>
        <item m="1" x="130"/>
        <item m="1" x="154"/>
        <item m="1" x="34"/>
        <item m="1" x="58"/>
        <item m="1" x="71"/>
        <item m="1" x="95"/>
        <item m="1" x="119"/>
        <item m="1" x="143"/>
        <item m="1" x="167"/>
        <item m="1" x="47"/>
        <item m="1" x="83"/>
        <item m="1" x="107"/>
        <item m="1" x="131"/>
        <item m="1" x="155"/>
        <item m="1" x="35"/>
        <item m="1" x="59"/>
        <item m="1" x="72"/>
        <item m="1" x="96"/>
        <item m="1" x="120"/>
        <item m="1" x="144"/>
        <item m="1" x="24"/>
        <item m="1" x="48"/>
        <item m="1" x="84"/>
        <item m="1" x="108"/>
        <item m="1" x="132"/>
        <item m="1" x="156"/>
        <item m="1" x="36"/>
        <item m="1" x="60"/>
        <item m="1" x="73"/>
        <item m="1" x="97"/>
        <item m="1" x="121"/>
        <item m="1" x="145"/>
        <item m="1" x="25"/>
        <item m="1" x="49"/>
        <item m="1" x="85"/>
        <item m="1" x="109"/>
        <item m="1" x="133"/>
        <item m="1" x="157"/>
        <item m="1" x="37"/>
        <item m="1" x="61"/>
        <item m="1" x="74"/>
        <item m="1" x="98"/>
        <item m="1" x="122"/>
        <item m="1" x="146"/>
        <item m="1" x="26"/>
        <item m="1" x="50"/>
        <item m="1" x="86"/>
        <item m="1" x="110"/>
        <item m="1" x="134"/>
        <item m="1" x="158"/>
        <item m="1" x="38"/>
        <item m="1" x="62"/>
        <item m="1" x="75"/>
        <item m="1" x="99"/>
        <item m="1" x="123"/>
        <item m="1" x="147"/>
        <item m="1" x="27"/>
        <item m="1" x="51"/>
        <item m="1" x="87"/>
        <item m="1" x="111"/>
        <item m="1" x="135"/>
        <item m="1" x="159"/>
        <item m="1" x="39"/>
        <item m="1" x="63"/>
        <item m="1" x="76"/>
        <item m="1" x="100"/>
        <item m="1" x="124"/>
        <item m="1" x="148"/>
        <item m="1" x="28"/>
        <item m="1" x="52"/>
        <item m="1" x="88"/>
        <item m="1" x="112"/>
        <item m="1" x="136"/>
        <item m="1" x="160"/>
        <item m="1" x="40"/>
        <item m="1" x="64"/>
        <item m="1" x="77"/>
        <item m="1" x="101"/>
        <item m="1" x="125"/>
        <item m="1" x="149"/>
        <item m="1" x="29"/>
        <item m="1" x="53"/>
        <item m="1" x="89"/>
        <item m="1" x="113"/>
        <item m="1" x="137"/>
        <item m="1" x="161"/>
        <item m="1" x="41"/>
        <item m="1" x="65"/>
        <item m="1" x="78"/>
        <item m="1" x="102"/>
        <item m="1" x="126"/>
        <item m="1" x="150"/>
        <item m="1" x="30"/>
        <item m="1" x="54"/>
        <item m="1" x="90"/>
        <item m="1" x="114"/>
        <item m="1" x="138"/>
        <item m="1" x="162"/>
        <item m="1" x="42"/>
        <item m="1" x="66"/>
        <item m="1" x="79"/>
        <item m="1" x="103"/>
        <item m="1" x="127"/>
        <item m="1" x="151"/>
        <item m="1" x="31"/>
        <item m="1" x="55"/>
        <item m="1" x="91"/>
        <item m="1" x="115"/>
        <item m="1" x="139"/>
        <item m="1" x="163"/>
        <item m="1" x="43"/>
        <item m="1" x="67"/>
        <item m="1" x="81"/>
        <item m="1" x="105"/>
        <item m="1" x="129"/>
        <item m="1" x="153"/>
        <item m="1" x="33"/>
        <item m="1" x="57"/>
        <item m="1" x="92"/>
        <item m="1" x="116"/>
        <item m="1" x="140"/>
        <item m="1" x="164"/>
        <item m="1" x="44"/>
        <item m="1" x="68"/>
        <item m="1" x="12"/>
        <item m="1" x="13"/>
        <item m="1" x="14"/>
        <item m="1" x="15"/>
        <item m="1" x="16"/>
        <item m="1" x="17"/>
        <item m="1" x="18"/>
        <item m="1" x="19"/>
        <item m="1" x="20"/>
        <item m="1" x="21"/>
        <item m="1" x="22"/>
        <item m="1" x="2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numFmtId="14" outline="0" subtotalTop="0" showAll="0" includeNewItemsInFilter="1"/>
    <pivotField compact="0" numFmtId="14" outline="0" subtotalTop="0" showAll="0" includeNewItemsInFilter="1"/>
    <pivotField axis="axisRow" compact="0" outline="0" subtotalTop="0" showAll="0" includeNewItemsInFilter="1">
      <items count="23">
        <item x="3"/>
        <item m="1" x="16"/>
        <item x="15"/>
        <item x="8"/>
        <item x="9"/>
        <item m="1" x="17"/>
        <item x="10"/>
        <item m="1" x="18"/>
        <item x="7"/>
        <item x="6"/>
        <item m="1" x="20"/>
        <item x="0"/>
        <item x="1"/>
        <item m="1" x="19"/>
        <item x="5"/>
        <item m="1" x="21"/>
        <item x="11"/>
        <item x="12"/>
        <item x="13"/>
        <item x="14"/>
        <item x="2"/>
        <item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compact="0" numFmtId="164" outline="0" showAll="0"/>
    <pivotField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/>
  </pivotFields>
  <rowFields count="2">
    <field x="3"/>
    <field x="-2"/>
  </rowFields>
  <rowItems count="119">
    <i>
      <x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0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t="grand">
      <x/>
    </i>
    <i t="grand" i="1">
      <x/>
    </i>
    <i t="grand" i="2">
      <x/>
    </i>
    <i t="grand" i="3">
      <x/>
    </i>
    <i t="grand" i="4">
      <x/>
    </i>
    <i t="grand" i="5">
      <x/>
    </i>
    <i t="grand" i="6">
      <x/>
    </i>
  </rowItems>
  <colFields count="1">
    <field x="0"/>
  </colFields>
  <colItems count="13"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 t="grand">
      <x/>
    </i>
  </colItems>
  <dataFields count="7">
    <dataField name="Sum of True-Up Charge" fld="8" baseField="0" baseItem="0"/>
    <dataField name="Sum of True-Up w/o Interest" fld="10" baseField="0" baseItem="0"/>
    <dataField name="Sum of Interest" fld="11" baseField="0" baseItem="0"/>
    <dataField name="Sum of Total True-up" fld="16" baseField="0" baseItem="0"/>
    <dataField name="Sum of Invoiced*** Charge (proj.)" fld="9" baseField="0" baseItem="0"/>
    <dataField name="Sum of Tax True Up Billing" fld="14" baseField="0" baseItem="0"/>
    <dataField name="Sum of Tax True Up" fld="15" baseField="0" baseItem="0"/>
  </dataFields>
  <formats count="171">
    <format dxfId="17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"/>
          </reference>
        </references>
      </pivotArea>
    </format>
    <format dxfId="16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2"/>
          </reference>
        </references>
      </pivotArea>
    </format>
    <format dxfId="16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3"/>
          </reference>
        </references>
      </pivotArea>
    </format>
    <format dxfId="16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4"/>
          </reference>
        </references>
      </pivotArea>
    </format>
    <format dxfId="164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5"/>
          </reference>
        </references>
      </pivotArea>
    </format>
    <format dxfId="163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6"/>
          </reference>
        </references>
      </pivotArea>
    </format>
    <format dxfId="162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7"/>
          </reference>
        </references>
      </pivotArea>
    </format>
    <format dxfId="161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8"/>
          </reference>
        </references>
      </pivotArea>
    </format>
    <format dxfId="16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9"/>
          </reference>
        </references>
      </pivotArea>
    </format>
    <format dxfId="15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0"/>
          </reference>
        </references>
      </pivotArea>
    </format>
    <format dxfId="15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1"/>
          </reference>
        </references>
      </pivotArea>
    </format>
    <format dxfId="15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2"/>
          </reference>
        </references>
      </pivotArea>
    </format>
    <format dxfId="15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3"/>
          </reference>
        </references>
      </pivotArea>
    </format>
    <format dxfId="15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4"/>
          </reference>
        </references>
      </pivotArea>
    </format>
    <format dxfId="154">
      <pivotArea field="3" grandRow="1" outline="0" axis="axisRow" fieldPosition="0">
        <references count="1">
          <reference field="4294967294" count="3" selected="0">
            <x v="1"/>
            <x v="2"/>
            <x v="3"/>
          </reference>
        </references>
      </pivotArea>
    </format>
    <format dxfId="153">
      <pivotArea outline="0" fieldPosition="0">
        <references count="3">
          <reference field="4294967294" count="1" selected="0">
            <x v="2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2">
      <pivotArea outline="0" fieldPosition="0">
        <references count="3">
          <reference field="4294967294" count="1" selected="0">
            <x v="3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1">
      <pivotArea grandRow="1" grandCol="1" outline="0" fieldPosition="0">
        <references count="1">
          <reference field="4294967294" count="5" selected="0">
            <x v="0"/>
            <x v="1"/>
            <x v="2"/>
            <x v="3"/>
            <x v="4"/>
          </reference>
        </references>
      </pivotArea>
    </format>
    <format dxfId="150">
      <pivotArea outline="0" fieldPosition="0"/>
    </format>
    <format dxfId="149">
      <pivotArea type="all" dataOnly="0" outline="0" fieldPosition="0"/>
    </format>
    <format dxfId="148">
      <pivotArea outline="0" fieldPosition="0"/>
    </format>
    <format dxfId="147">
      <pivotArea type="origin" dataOnly="0" labelOnly="1" outline="0" fieldPosition="0"/>
    </format>
    <format dxfId="146">
      <pivotArea field="0" type="button" dataOnly="0" labelOnly="1" outline="0" axis="axisCol" fieldPosition="0"/>
    </format>
    <format dxfId="145">
      <pivotArea type="topRight" dataOnly="0" labelOnly="1" outline="0" fieldPosition="0"/>
    </format>
    <format dxfId="144">
      <pivotArea field="3" type="button" dataOnly="0" labelOnly="1" outline="0" axis="axisRow" fieldPosition="0"/>
    </format>
    <format dxfId="143">
      <pivotArea field="-2" type="button" dataOnly="0" labelOnly="1" outline="0" axis="axisRow" fieldPosition="1"/>
    </format>
    <format dxfId="142">
      <pivotArea dataOnly="0" labelOnly="1" outline="0" fieldPosition="0">
        <references count="1">
          <reference field="3" count="0"/>
        </references>
      </pivotArea>
    </format>
    <format dxfId="14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4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3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3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3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3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7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26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25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24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23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2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1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0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9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8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7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16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15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14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13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2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1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0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9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8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7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0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0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0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0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9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9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9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9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9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9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9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9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8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8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8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8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8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8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8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8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7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7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7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76">
      <pivotArea dataOnly="0" labelOnly="1" outline="0" fieldPosition="0">
        <references count="1">
          <reference field="0" count="0"/>
        </references>
      </pivotArea>
    </format>
    <format dxfId="75">
      <pivotArea dataOnly="0" labelOnly="1" grandCol="1" outline="0" fieldPosition="0"/>
    </format>
    <format dxfId="74">
      <pivotArea type="all" dataOnly="0" outline="0" fieldPosition="0"/>
    </format>
    <format dxfId="73">
      <pivotArea outline="0" fieldPosition="0"/>
    </format>
    <format dxfId="72">
      <pivotArea type="origin" dataOnly="0" labelOnly="1" outline="0" fieldPosition="0"/>
    </format>
    <format dxfId="71">
      <pivotArea field="0" type="button" dataOnly="0" labelOnly="1" outline="0" axis="axisCol" fieldPosition="0"/>
    </format>
    <format dxfId="70">
      <pivotArea type="topRight" dataOnly="0" labelOnly="1" outline="0" fieldPosition="0"/>
    </format>
    <format dxfId="69">
      <pivotArea field="3" type="button" dataOnly="0" labelOnly="1" outline="0" axis="axisRow" fieldPosition="0"/>
    </format>
    <format dxfId="68">
      <pivotArea field="-2" type="button" dataOnly="0" labelOnly="1" outline="0" axis="axisRow" fieldPosition="1"/>
    </format>
    <format dxfId="67">
      <pivotArea dataOnly="0" labelOnly="1" outline="0" fieldPosition="0">
        <references count="1">
          <reference field="3" count="0"/>
        </references>
      </pivotArea>
    </format>
    <format dxfId="6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6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6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6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6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6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6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5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5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5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5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2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1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0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9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8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7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46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45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44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43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2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1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0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9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8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7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36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35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34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33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2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2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2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2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2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1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1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1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1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1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1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1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1">
      <pivotArea dataOnly="0" labelOnly="1" outline="0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7"/>
  <sheetViews>
    <sheetView workbookViewId="0">
      <selection activeCell="Q19" sqref="A1:Q19"/>
    </sheetView>
  </sheetViews>
  <sheetFormatPr defaultColWidth="8.7265625" defaultRowHeight="12.5" x14ac:dyDescent="0.25"/>
  <cols>
    <col min="1" max="16384" width="8.7265625" style="1"/>
  </cols>
  <sheetData>
    <row r="1" spans="1:2" x14ac:dyDescent="0.25">
      <c r="A1" s="1" t="s">
        <v>65</v>
      </c>
    </row>
    <row r="3" spans="1:2" x14ac:dyDescent="0.25">
      <c r="A3" s="2">
        <v>1</v>
      </c>
      <c r="B3" s="3" t="s">
        <v>67</v>
      </c>
    </row>
    <row r="4" spans="1:2" ht="13" x14ac:dyDescent="0.3">
      <c r="A4" s="2">
        <v>2</v>
      </c>
      <c r="B4" s="3" t="s">
        <v>66</v>
      </c>
    </row>
    <row r="5" spans="1:2" ht="13" x14ac:dyDescent="0.3">
      <c r="A5" s="2">
        <v>3</v>
      </c>
      <c r="B5" s="3" t="s">
        <v>68</v>
      </c>
    </row>
    <row r="6" spans="1:2" ht="13" x14ac:dyDescent="0.3">
      <c r="A6" s="2">
        <v>4</v>
      </c>
      <c r="B6" s="4" t="s">
        <v>82</v>
      </c>
    </row>
    <row r="7" spans="1:2" x14ac:dyDescent="0.25">
      <c r="A7" s="2">
        <v>5</v>
      </c>
      <c r="B7" s="3" t="s">
        <v>69</v>
      </c>
    </row>
    <row r="8" spans="1:2" x14ac:dyDescent="0.25">
      <c r="A8" s="2">
        <v>6</v>
      </c>
      <c r="B8" s="3" t="s">
        <v>70</v>
      </c>
    </row>
    <row r="9" spans="1:2" x14ac:dyDescent="0.25">
      <c r="A9" s="2">
        <v>7</v>
      </c>
      <c r="B9" s="5" t="s">
        <v>71</v>
      </c>
    </row>
    <row r="10" spans="1:2" ht="13" x14ac:dyDescent="0.3">
      <c r="A10" s="2">
        <v>8</v>
      </c>
      <c r="B10" s="3" t="s">
        <v>74</v>
      </c>
    </row>
    <row r="11" spans="1:2" x14ac:dyDescent="0.25">
      <c r="A11" s="2"/>
      <c r="B11" s="3" t="s">
        <v>75</v>
      </c>
    </row>
    <row r="12" spans="1:2" x14ac:dyDescent="0.25">
      <c r="A12" s="2"/>
      <c r="B12" s="5" t="s">
        <v>76</v>
      </c>
    </row>
    <row r="13" spans="1:2" x14ac:dyDescent="0.25">
      <c r="A13" s="2"/>
      <c r="B13" s="5" t="s">
        <v>77</v>
      </c>
    </row>
    <row r="14" spans="1:2" x14ac:dyDescent="0.25">
      <c r="A14" s="2">
        <v>9</v>
      </c>
      <c r="B14" s="3" t="s">
        <v>78</v>
      </c>
    </row>
    <row r="15" spans="1:2" x14ac:dyDescent="0.25">
      <c r="A15" s="2">
        <v>10</v>
      </c>
      <c r="B15" s="3" t="s">
        <v>80</v>
      </c>
    </row>
    <row r="16" spans="1:2" x14ac:dyDescent="0.25">
      <c r="A16" s="2">
        <v>11</v>
      </c>
      <c r="B16" s="3" t="s">
        <v>81</v>
      </c>
    </row>
    <row r="17" spans="1:1" x14ac:dyDescent="0.25">
      <c r="A17" s="2"/>
    </row>
  </sheetData>
  <phoneticPr fontId="6" type="noConversion"/>
  <pageMargins left="0.75" right="0.75" top="1" bottom="1" header="0.5" footer="0.5"/>
  <pageSetup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92646-0328-413C-A790-1EA6BFF5529F}">
  <dimension ref="A1:E22"/>
  <sheetViews>
    <sheetView tabSelected="1" workbookViewId="0">
      <selection activeCell="D2" sqref="D2"/>
    </sheetView>
  </sheetViews>
  <sheetFormatPr defaultRowHeight="12.5" x14ac:dyDescent="0.25"/>
  <cols>
    <col min="1" max="1" width="51.6328125" style="229" bestFit="1" customWidth="1"/>
    <col min="2" max="2" width="6" style="229" bestFit="1" customWidth="1"/>
    <col min="3" max="3" width="14.1796875" style="229" bestFit="1" customWidth="1"/>
    <col min="4" max="4" width="12.7265625" style="229" bestFit="1" customWidth="1"/>
    <col min="5" max="5" width="10.54296875" style="229" bestFit="1" customWidth="1"/>
    <col min="6" max="16384" width="8.7265625" style="229"/>
  </cols>
  <sheetData>
    <row r="1" spans="1:5" x14ac:dyDescent="0.25">
      <c r="C1" s="229" t="s">
        <v>100</v>
      </c>
      <c r="D1" s="229" t="s">
        <v>101</v>
      </c>
      <c r="E1" s="229" t="s">
        <v>99</v>
      </c>
    </row>
    <row r="2" spans="1:5" ht="37.5" x14ac:dyDescent="0.25">
      <c r="A2" s="229" t="s">
        <v>103</v>
      </c>
      <c r="B2" s="253" t="s">
        <v>104</v>
      </c>
      <c r="C2" s="230">
        <v>7842433.8857229836</v>
      </c>
      <c r="D2" s="230">
        <v>72427.982171012627</v>
      </c>
      <c r="E2" s="231">
        <f>C2+D2</f>
        <v>7914861.8678939966</v>
      </c>
    </row>
    <row r="3" spans="1:5" ht="13" thickBot="1" x14ac:dyDescent="0.3"/>
    <row r="4" spans="1:5" x14ac:dyDescent="0.25">
      <c r="A4" s="232" t="s">
        <v>14</v>
      </c>
      <c r="B4" s="233">
        <f>0.074+0.018</f>
        <v>9.1999999999999998E-2</v>
      </c>
      <c r="C4" s="231">
        <f>$C$2*B4</f>
        <v>721503.91748651443</v>
      </c>
      <c r="D4" s="231">
        <f>$D$2*B4</f>
        <v>6663.3743597331613</v>
      </c>
      <c r="E4" s="231">
        <f t="shared" ref="E4:E20" si="0">C4+D4</f>
        <v>728167.29184624762</v>
      </c>
    </row>
    <row r="5" spans="1:5" x14ac:dyDescent="0.25">
      <c r="A5" s="234" t="s">
        <v>85</v>
      </c>
      <c r="B5" s="235">
        <v>5.0000000000000001E-3</v>
      </c>
      <c r="C5" s="231">
        <f t="shared" ref="C5:C16" si="1">$C$2*B5</f>
        <v>39212.169428614921</v>
      </c>
      <c r="D5" s="231">
        <f t="shared" ref="D5:D16" si="2">$D$2*B5</f>
        <v>362.13991085506314</v>
      </c>
      <c r="E5" s="231">
        <f t="shared" si="0"/>
        <v>39574.309339469983</v>
      </c>
    </row>
    <row r="6" spans="1:5" x14ac:dyDescent="0.25">
      <c r="A6" s="234" t="s">
        <v>56</v>
      </c>
      <c r="B6" s="235">
        <v>1.4999999999999999E-2</v>
      </c>
      <c r="C6" s="231">
        <f t="shared" si="1"/>
        <v>117636.50828584476</v>
      </c>
      <c r="D6" s="231">
        <f t="shared" si="2"/>
        <v>1086.4197325651894</v>
      </c>
      <c r="E6" s="231">
        <f t="shared" si="0"/>
        <v>118722.92801840995</v>
      </c>
    </row>
    <row r="7" spans="1:5" x14ac:dyDescent="0.25">
      <c r="A7" s="236" t="s">
        <v>17</v>
      </c>
      <c r="B7" s="233">
        <v>1.2999999999999999E-2</v>
      </c>
      <c r="C7" s="231">
        <f t="shared" si="1"/>
        <v>101951.64051439878</v>
      </c>
      <c r="D7" s="231">
        <f t="shared" si="2"/>
        <v>941.56376822316406</v>
      </c>
      <c r="E7" s="231">
        <f t="shared" si="0"/>
        <v>102893.20428262194</v>
      </c>
    </row>
    <row r="8" spans="1:5" x14ac:dyDescent="0.25">
      <c r="A8" s="234" t="s">
        <v>13</v>
      </c>
      <c r="B8" s="235">
        <v>0.10199999999999999</v>
      </c>
      <c r="C8" s="231">
        <f t="shared" si="1"/>
        <v>799928.25634374423</v>
      </c>
      <c r="D8" s="231">
        <f t="shared" si="2"/>
        <v>7387.6541814432876</v>
      </c>
      <c r="E8" s="231">
        <f t="shared" si="0"/>
        <v>807315.9105251875</v>
      </c>
    </row>
    <row r="9" spans="1:5" x14ac:dyDescent="0.25">
      <c r="A9" s="236" t="s">
        <v>15</v>
      </c>
      <c r="B9" s="233">
        <v>1E-3</v>
      </c>
      <c r="C9" s="231">
        <f t="shared" si="1"/>
        <v>7842.4338857229841</v>
      </c>
      <c r="D9" s="231">
        <f t="shared" si="2"/>
        <v>72.42798217101263</v>
      </c>
      <c r="E9" s="231">
        <f t="shared" si="0"/>
        <v>7914.8618678939965</v>
      </c>
    </row>
    <row r="10" spans="1:5" x14ac:dyDescent="0.25">
      <c r="A10" s="236" t="s">
        <v>59</v>
      </c>
      <c r="B10" s="233">
        <v>5.0000000000000001E-3</v>
      </c>
      <c r="C10" s="231">
        <f t="shared" si="1"/>
        <v>39212.169428614921</v>
      </c>
      <c r="D10" s="231">
        <f t="shared" si="2"/>
        <v>362.13991085506314</v>
      </c>
      <c r="E10" s="231">
        <f t="shared" si="0"/>
        <v>39574.309339469983</v>
      </c>
    </row>
    <row r="11" spans="1:5" x14ac:dyDescent="0.25">
      <c r="A11" s="236" t="s">
        <v>16</v>
      </c>
      <c r="B11" s="233">
        <v>0</v>
      </c>
      <c r="C11" s="231">
        <f t="shared" si="1"/>
        <v>0</v>
      </c>
      <c r="D11" s="231">
        <f t="shared" si="2"/>
        <v>0</v>
      </c>
      <c r="E11" s="231">
        <f t="shared" si="0"/>
        <v>0</v>
      </c>
    </row>
    <row r="12" spans="1:5" x14ac:dyDescent="0.25">
      <c r="A12" s="234" t="s">
        <v>58</v>
      </c>
      <c r="B12" s="235">
        <v>3.0000000000000001E-3</v>
      </c>
      <c r="C12" s="231">
        <f t="shared" si="1"/>
        <v>23527.301657168951</v>
      </c>
      <c r="D12" s="231">
        <f t="shared" si="2"/>
        <v>217.28394651303788</v>
      </c>
      <c r="E12" s="231">
        <f t="shared" si="0"/>
        <v>23744.58560368199</v>
      </c>
    </row>
    <row r="13" spans="1:5" x14ac:dyDescent="0.25">
      <c r="A13" s="234" t="s">
        <v>19</v>
      </c>
      <c r="B13" s="235">
        <f>0.003+0.002</f>
        <v>5.0000000000000001E-3</v>
      </c>
      <c r="C13" s="231">
        <f t="shared" si="1"/>
        <v>39212.169428614921</v>
      </c>
      <c r="D13" s="231">
        <f t="shared" si="2"/>
        <v>362.13991085506314</v>
      </c>
      <c r="E13" s="231">
        <f t="shared" si="0"/>
        <v>39574.309339469983</v>
      </c>
    </row>
    <row r="14" spans="1:5" x14ac:dyDescent="0.25">
      <c r="A14" s="236" t="s">
        <v>8</v>
      </c>
      <c r="B14" s="233">
        <v>1.2999999999999999E-2</v>
      </c>
      <c r="C14" s="231">
        <f t="shared" si="1"/>
        <v>101951.64051439878</v>
      </c>
      <c r="D14" s="231">
        <f t="shared" si="2"/>
        <v>941.56376822316406</v>
      </c>
      <c r="E14" s="231">
        <f t="shared" si="0"/>
        <v>102893.20428262194</v>
      </c>
    </row>
    <row r="15" spans="1:5" x14ac:dyDescent="0.25">
      <c r="A15" s="236" t="s">
        <v>57</v>
      </c>
      <c r="B15" s="233">
        <v>1E-3</v>
      </c>
      <c r="C15" s="231">
        <f t="shared" si="1"/>
        <v>7842.4338857229841</v>
      </c>
      <c r="D15" s="231">
        <f t="shared" si="2"/>
        <v>72.42798217101263</v>
      </c>
      <c r="E15" s="231">
        <f t="shared" si="0"/>
        <v>7914.8618678939965</v>
      </c>
    </row>
    <row r="16" spans="1:5" x14ac:dyDescent="0.25">
      <c r="A16" s="237" t="s">
        <v>9</v>
      </c>
      <c r="B16" s="233">
        <v>5.0000000000000001E-3</v>
      </c>
      <c r="C16" s="231">
        <f t="shared" si="1"/>
        <v>39212.169428614921</v>
      </c>
      <c r="D16" s="231">
        <f t="shared" si="2"/>
        <v>362.13991085506314</v>
      </c>
      <c r="E16" s="231">
        <f t="shared" si="0"/>
        <v>39574.309339469983</v>
      </c>
    </row>
    <row r="17" spans="1:5" ht="23" x14ac:dyDescent="0.25">
      <c r="A17" s="238" t="s">
        <v>44</v>
      </c>
      <c r="B17" s="239"/>
      <c r="C17" s="240">
        <f>SUM(C4:C16)</f>
        <v>2039032.8102879752</v>
      </c>
      <c r="D17" s="240">
        <f>SUM(D4:D16)</f>
        <v>18831.275364463276</v>
      </c>
      <c r="E17" s="240">
        <f>SUM(E4:E16)</f>
        <v>2057864.0856524389</v>
      </c>
    </row>
    <row r="18" spans="1:5" x14ac:dyDescent="0.25">
      <c r="A18" s="241" t="s">
        <v>21</v>
      </c>
      <c r="B18" s="235">
        <v>0.37</v>
      </c>
      <c r="C18" s="231">
        <f>$C$2*B18</f>
        <v>2901700.537717504</v>
      </c>
      <c r="D18" s="231">
        <f>$D$2*B18</f>
        <v>26798.353403274672</v>
      </c>
      <c r="E18" s="231">
        <f t="shared" si="0"/>
        <v>2928498.8911207789</v>
      </c>
    </row>
    <row r="19" spans="1:5" x14ac:dyDescent="0.25">
      <c r="A19" s="236" t="s">
        <v>22</v>
      </c>
      <c r="B19" s="233">
        <v>0.35399999999999998</v>
      </c>
      <c r="C19" s="231">
        <f t="shared" ref="C19:C20" si="3">$C$2*B19</f>
        <v>2776221.5955459359</v>
      </c>
      <c r="D19" s="231">
        <f t="shared" ref="D19:D20" si="4">$D$2*B19</f>
        <v>25639.505688538469</v>
      </c>
      <c r="E19" s="231">
        <f t="shared" si="0"/>
        <v>2801861.1012344742</v>
      </c>
    </row>
    <row r="20" spans="1:5" x14ac:dyDescent="0.25">
      <c r="A20" s="237" t="s">
        <v>83</v>
      </c>
      <c r="B20" s="233">
        <v>1.6E-2</v>
      </c>
      <c r="C20" s="231">
        <f t="shared" si="3"/>
        <v>125478.94217156775</v>
      </c>
      <c r="D20" s="231">
        <f t="shared" si="4"/>
        <v>1158.8477147362021</v>
      </c>
      <c r="E20" s="231">
        <f t="shared" si="0"/>
        <v>126637.78988630394</v>
      </c>
    </row>
    <row r="21" spans="1:5" ht="23" x14ac:dyDescent="0.25">
      <c r="A21" s="238" t="s">
        <v>53</v>
      </c>
      <c r="B21" s="242"/>
      <c r="C21" s="243">
        <f>SUM(C18:C20)</f>
        <v>5803401.0754350079</v>
      </c>
      <c r="D21" s="243">
        <f>SUM(D18:D20)</f>
        <v>53596.706806549337</v>
      </c>
      <c r="E21" s="243">
        <f>SUM(E18:E20)</f>
        <v>5856997.7822415577</v>
      </c>
    </row>
    <row r="22" spans="1:5" ht="13" thickBot="1" x14ac:dyDescent="0.3">
      <c r="A22" s="244" t="s">
        <v>45</v>
      </c>
      <c r="B22" s="245"/>
      <c r="C22" s="231">
        <f>C17+C21</f>
        <v>7842433.8857229836</v>
      </c>
      <c r="D22" s="231">
        <f>D17+D21</f>
        <v>72427.982171012613</v>
      </c>
      <c r="E22" s="231">
        <f>E17+E21</f>
        <v>7914861.8678939966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40"/>
  <sheetViews>
    <sheetView topLeftCell="A14" zoomScale="85" zoomScaleNormal="85" zoomScaleSheetLayoutView="100" workbookViewId="0">
      <selection activeCell="I22" sqref="I22"/>
    </sheetView>
  </sheetViews>
  <sheetFormatPr defaultColWidth="33.26953125" defaultRowHeight="12.5" x14ac:dyDescent="0.25"/>
  <cols>
    <col min="1" max="1" width="9.1796875" style="1" customWidth="1"/>
    <col min="2" max="2" width="14" style="1" customWidth="1"/>
    <col min="3" max="3" width="21.81640625" style="1" customWidth="1"/>
    <col min="4" max="4" width="15.54296875" style="1" customWidth="1"/>
    <col min="5" max="14" width="14" style="1" customWidth="1"/>
    <col min="15" max="15" width="15" style="1" customWidth="1"/>
    <col min="16" max="108" width="31.7265625" style="1" customWidth="1"/>
    <col min="109" max="109" width="11.453125" style="1" customWidth="1"/>
    <col min="110" max="16384" width="33.26953125" style="1"/>
  </cols>
  <sheetData>
    <row r="1" spans="2:17" ht="13" x14ac:dyDescent="0.3">
      <c r="C1" s="254" t="str">
        <f>+Transactions!B1</f>
        <v>AEPTCo Formula Rate -- FERC Docket ER18-194</v>
      </c>
      <c r="D1" s="254"/>
      <c r="E1" s="254"/>
      <c r="F1" s="254"/>
      <c r="G1" s="254"/>
      <c r="H1" s="254"/>
      <c r="I1" s="254"/>
      <c r="J1" s="6">
        <v>2023</v>
      </c>
    </row>
    <row r="2" spans="2:17" ht="13" x14ac:dyDescent="0.3">
      <c r="C2" s="254" t="s">
        <v>36</v>
      </c>
      <c r="D2" s="254"/>
      <c r="E2" s="254"/>
      <c r="F2" s="254"/>
      <c r="G2" s="254"/>
      <c r="H2" s="254"/>
      <c r="I2" s="254"/>
    </row>
    <row r="3" spans="2:17" ht="13" x14ac:dyDescent="0.3">
      <c r="C3" s="254" t="str">
        <f>"for period 01/01/"&amp;F8&amp;" - 12/31/"&amp;F8</f>
        <v>for period 01/01/2023 - 12/31/2023</v>
      </c>
      <c r="D3" s="254"/>
      <c r="E3" s="254"/>
      <c r="F3" s="254"/>
      <c r="G3" s="254"/>
      <c r="H3" s="254"/>
      <c r="I3" s="254"/>
    </row>
    <row r="4" spans="2:17" ht="13" x14ac:dyDescent="0.3">
      <c r="C4" s="254" t="s">
        <v>96</v>
      </c>
      <c r="D4" s="254"/>
      <c r="E4" s="254"/>
      <c r="F4" s="254"/>
      <c r="G4" s="254"/>
      <c r="H4" s="254"/>
      <c r="I4" s="254"/>
    </row>
    <row r="5" spans="2:17" x14ac:dyDescent="0.25">
      <c r="C5" s="7" t="str">
        <f>"Prepared:  May 24_, "&amp;J1&amp;""</f>
        <v>Prepared:  May 24_, 2023</v>
      </c>
      <c r="D5" s="8"/>
    </row>
    <row r="6" spans="2:17" x14ac:dyDescent="0.25">
      <c r="C6" s="9"/>
    </row>
    <row r="7" spans="2:17" ht="13" x14ac:dyDescent="0.3">
      <c r="C7" s="10"/>
    </row>
    <row r="8" spans="2:17" ht="27.75" customHeight="1" thickBot="1" x14ac:dyDescent="0.3">
      <c r="F8" s="11">
        <v>2023</v>
      </c>
    </row>
    <row r="9" spans="2:17" ht="20.25" customHeight="1" x14ac:dyDescent="0.3">
      <c r="E9" s="12" t="s">
        <v>95</v>
      </c>
      <c r="F9" s="13"/>
      <c r="G9" s="14"/>
      <c r="H9" s="15"/>
      <c r="J9" s="2"/>
    </row>
    <row r="10" spans="2:17" ht="42" customHeight="1" thickBot="1" x14ac:dyDescent="0.3">
      <c r="B10" s="16"/>
      <c r="E10" s="17" t="str">
        <f>"(per "&amp;$F8&amp;" Projections "&amp;$F8&amp;")"</f>
        <v>(per 2023 Projections 2023)</v>
      </c>
      <c r="F10" s="18" t="str">
        <f>"(per "&amp;F8+1&amp;" Update of May "&amp;F8+1&amp;")"</f>
        <v>(per 2024 Update of May 2024)</v>
      </c>
      <c r="G10" s="19"/>
      <c r="H10" s="20"/>
    </row>
    <row r="11" spans="2:17" ht="21.75" customHeight="1" x14ac:dyDescent="0.25">
      <c r="B11" s="21"/>
      <c r="C11" s="22" t="s">
        <v>39</v>
      </c>
      <c r="D11" s="23" t="s">
        <v>37</v>
      </c>
      <c r="E11" s="24">
        <f>Transactions!K2</f>
        <v>150069.48142837861</v>
      </c>
      <c r="F11" s="25"/>
      <c r="G11" s="26"/>
      <c r="H11" s="27"/>
    </row>
    <row r="12" spans="2:17" ht="21.75" customHeight="1" x14ac:dyDescent="0.25">
      <c r="B12" s="21"/>
      <c r="C12" s="28"/>
      <c r="D12" s="29" t="s">
        <v>43</v>
      </c>
      <c r="E12" s="30"/>
      <c r="F12" s="31">
        <f>+Transactions!J2</f>
        <v>124091.96463043918</v>
      </c>
      <c r="G12" s="32"/>
      <c r="H12" s="33"/>
    </row>
    <row r="13" spans="2:17" ht="21.75" customHeight="1" x14ac:dyDescent="0.25">
      <c r="B13" s="34"/>
      <c r="C13" s="35" t="s">
        <v>40</v>
      </c>
      <c r="D13" s="36" t="s">
        <v>38</v>
      </c>
      <c r="E13" s="37">
        <f>Transactions!K3</f>
        <v>1.371384551924467</v>
      </c>
      <c r="F13" s="33"/>
      <c r="G13" s="38"/>
      <c r="H13" s="39"/>
    </row>
    <row r="14" spans="2:17" ht="21.75" customHeight="1" thickBot="1" x14ac:dyDescent="0.3">
      <c r="B14" s="16"/>
      <c r="C14" s="40"/>
      <c r="D14" s="41" t="s">
        <v>42</v>
      </c>
      <c r="E14" s="42"/>
      <c r="F14" s="43">
        <f>+Transactions!J3</f>
        <v>1.2144685218974649</v>
      </c>
      <c r="G14" s="44"/>
      <c r="H14" s="33"/>
    </row>
    <row r="15" spans="2:17" x14ac:dyDescent="0.25">
      <c r="B15" s="21"/>
      <c r="E15" s="45"/>
    </row>
    <row r="16" spans="2:17" ht="13" x14ac:dyDescent="0.3">
      <c r="B16" s="34"/>
      <c r="C16" s="34"/>
      <c r="D16" s="46"/>
      <c r="E16" s="34"/>
      <c r="F16" s="47"/>
      <c r="G16" s="48"/>
      <c r="H16" s="48"/>
      <c r="J16" s="45"/>
      <c r="L16" s="50"/>
      <c r="M16" s="51"/>
      <c r="N16" s="51"/>
      <c r="O16" s="51"/>
      <c r="P16" s="51"/>
      <c r="Q16" s="51"/>
    </row>
    <row r="17" spans="2:17" ht="13" x14ac:dyDescent="0.3">
      <c r="C17" s="10"/>
      <c r="L17" s="52"/>
      <c r="M17" s="51"/>
      <c r="N17" s="51"/>
      <c r="O17" s="51"/>
      <c r="P17" s="51"/>
      <c r="Q17" s="51"/>
    </row>
    <row r="18" spans="2:17" x14ac:dyDescent="0.25">
      <c r="C18" s="50"/>
      <c r="D18" s="50"/>
      <c r="E18" s="50"/>
      <c r="F18" s="50"/>
      <c r="G18" s="50"/>
      <c r="H18" s="50"/>
      <c r="I18" s="50"/>
      <c r="L18" s="50"/>
      <c r="M18" s="51"/>
      <c r="N18" s="51"/>
      <c r="O18" s="51"/>
      <c r="P18" s="51"/>
      <c r="Q18" s="51"/>
    </row>
    <row r="19" spans="2:17" ht="21" customHeight="1" thickBot="1" x14ac:dyDescent="0.3">
      <c r="C19" s="53" t="s">
        <v>31</v>
      </c>
      <c r="D19" s="53" t="s">
        <v>32</v>
      </c>
      <c r="E19" s="54" t="s">
        <v>33</v>
      </c>
      <c r="F19" s="54" t="s">
        <v>34</v>
      </c>
      <c r="G19" s="53" t="s">
        <v>35</v>
      </c>
      <c r="H19" s="53" t="s">
        <v>94</v>
      </c>
      <c r="I19" s="54" t="s">
        <v>93</v>
      </c>
      <c r="L19" s="50"/>
      <c r="M19" s="51"/>
      <c r="N19" s="51"/>
      <c r="O19" s="51"/>
      <c r="P19" s="51"/>
      <c r="Q19" s="51"/>
    </row>
    <row r="20" spans="2:17" ht="53.25" customHeight="1" x14ac:dyDescent="0.25">
      <c r="C20" s="55" t="s">
        <v>52</v>
      </c>
      <c r="D20" s="56" t="str">
        <f>"Actual Charge
("&amp;F8&amp;" True-Up)"</f>
        <v>Actual Charge
(2023 True-Up)</v>
      </c>
      <c r="E20" s="57" t="str">
        <f>"Invoiced for
CY"&amp;F8&amp;" Transmission Service"</f>
        <v>Invoiced for
CY2023 Transmission Service</v>
      </c>
      <c r="F20" s="56" t="s">
        <v>41</v>
      </c>
      <c r="G20" s="58" t="s">
        <v>7</v>
      </c>
      <c r="H20" s="246" t="s">
        <v>102</v>
      </c>
      <c r="I20" s="59" t="s">
        <v>46</v>
      </c>
      <c r="L20" s="50"/>
      <c r="M20" s="51"/>
      <c r="N20" s="51"/>
      <c r="O20" s="51"/>
      <c r="P20" s="51"/>
      <c r="Q20" s="51"/>
    </row>
    <row r="21" spans="2:17" x14ac:dyDescent="0.25">
      <c r="B21" s="60"/>
      <c r="C21" s="61" t="s">
        <v>14</v>
      </c>
      <c r="D21" s="62">
        <f>GETPIVOTDATA("Sum of "&amp;T(Transactions!$J$19),Pivot!$A$3,"Customer",C21)</f>
        <v>11604.246726730275</v>
      </c>
      <c r="E21" s="62">
        <f>GETPIVOTDATA("Sum of "&amp;T(Transactions!$K$19),Pivot!$A$3,"Customer",C21)</f>
        <v>13103.579393638283</v>
      </c>
      <c r="F21" s="62">
        <f>D21-E21</f>
        <v>-1499.3326669080088</v>
      </c>
      <c r="G21" s="51">
        <f>+GETPIVOTDATA("Sum of "&amp;T(Transactions!$M$19),Pivot!$A$3,"Customer","AECC")</f>
        <v>-122.8896868762688</v>
      </c>
      <c r="H21" s="51">
        <f>-'2021 NOLC Refund Detail'!D4</f>
        <v>-6663.3743597331613</v>
      </c>
      <c r="I21" s="63">
        <f>F21+G21+H21</f>
        <v>-8285.5967135174396</v>
      </c>
      <c r="J21" s="60"/>
      <c r="L21" s="50"/>
      <c r="M21" s="51"/>
      <c r="N21" s="51"/>
      <c r="O21" s="51"/>
      <c r="P21" s="51"/>
      <c r="Q21" s="51"/>
    </row>
    <row r="22" spans="2:17" x14ac:dyDescent="0.25">
      <c r="B22" s="60"/>
      <c r="C22" s="64" t="s">
        <v>85</v>
      </c>
      <c r="D22" s="62">
        <f>GETPIVOTDATA("Sum of "&amp;T(Transactions!$J$19),Pivot!$A$3,"Customer",C22)</f>
        <v>637.59597399616894</v>
      </c>
      <c r="E22" s="62">
        <f>GETPIVOTDATA("Sum of "&amp;T(Transactions!$K$19),Pivot!$A$3,"Customer",C22)</f>
        <v>719.97688976034522</v>
      </c>
      <c r="F22" s="62">
        <f>D22-E22</f>
        <v>-82.380915764176279</v>
      </c>
      <c r="G22" s="51">
        <f>+GETPIVOTDATA("Sum of "&amp;T(Transactions!$M$19),Pivot!$A$3,"Customer","AECI")</f>
        <v>-6.752180597597186</v>
      </c>
      <c r="H22" s="51">
        <f>-'2021 NOLC Refund Detail'!D5</f>
        <v>-362.13991085506314</v>
      </c>
      <c r="I22" s="63">
        <f t="shared" ref="I22:I33" si="0">F22+G22+H22</f>
        <v>-451.27300721683662</v>
      </c>
      <c r="J22" s="60"/>
      <c r="L22" s="50"/>
      <c r="M22" s="51"/>
      <c r="N22" s="51"/>
      <c r="O22" s="51"/>
      <c r="P22" s="51"/>
      <c r="Q22" s="51"/>
    </row>
    <row r="23" spans="2:17" x14ac:dyDescent="0.25">
      <c r="B23" s="60"/>
      <c r="C23" s="64" t="s">
        <v>56</v>
      </c>
      <c r="D23" s="62">
        <f>GETPIVOTDATA("Sum of "&amp;T(Transactions!$J$19),Pivot!$A$3,"Customer",C23)</f>
        <v>1842.3487477184544</v>
      </c>
      <c r="E23" s="62">
        <f>GETPIVOTDATA("Sum of "&amp;T(Transactions!$K$19),Pivot!$A$3,"Customer",C23)</f>
        <v>2080.3903652694162</v>
      </c>
      <c r="F23" s="62">
        <f t="shared" ref="F23:F35" si="1">D23-E23</f>
        <v>-238.04161755096175</v>
      </c>
      <c r="G23" s="51">
        <f>+GETPIVOTDATA("Sum of "&amp;T(Transactions!$M$19),Pivot!$A$3,"Customer","Bentonville, AR")</f>
        <v>-19.510586602961773</v>
      </c>
      <c r="H23" s="51">
        <f>-'2021 NOLC Refund Detail'!D6</f>
        <v>-1086.4197325651894</v>
      </c>
      <c r="I23" s="63">
        <f t="shared" si="0"/>
        <v>-1343.9719367191128</v>
      </c>
      <c r="J23" s="60"/>
      <c r="L23" s="50"/>
      <c r="M23" s="51"/>
      <c r="N23" s="51"/>
      <c r="O23" s="51"/>
      <c r="P23" s="51"/>
      <c r="Q23" s="51"/>
    </row>
    <row r="24" spans="2:17" x14ac:dyDescent="0.25">
      <c r="B24" s="60"/>
      <c r="C24" s="61" t="s">
        <v>17</v>
      </c>
      <c r="D24" s="62">
        <f>GETPIVOTDATA("Sum of "&amp;T(Transactions!$J$19),Pivot!$A$3,"Customer",C24)</f>
        <v>1548.447365419268</v>
      </c>
      <c r="E24" s="62">
        <f>GETPIVOTDATA("Sum of "&amp;T(Transactions!$K$19),Pivot!$A$3,"Customer",C24)</f>
        <v>1748.5153037036955</v>
      </c>
      <c r="F24" s="62">
        <f t="shared" si="1"/>
        <v>-200.06793828442756</v>
      </c>
      <c r="G24" s="51">
        <f>+GETPIVOTDATA("Sum of "&amp;T(Transactions!$M$19),Pivot!$A$3,"Customer","Coffeyville, KS")</f>
        <v>-16.398152879878882</v>
      </c>
      <c r="H24" s="51">
        <f>-'2021 NOLC Refund Detail'!D7</f>
        <v>-941.56376822316406</v>
      </c>
      <c r="I24" s="63">
        <f t="shared" si="0"/>
        <v>-1158.0298593874704</v>
      </c>
      <c r="J24" s="60"/>
      <c r="L24" s="50"/>
      <c r="M24" s="51"/>
      <c r="N24" s="51"/>
      <c r="O24" s="51"/>
      <c r="P24" s="51"/>
      <c r="Q24" s="51"/>
    </row>
    <row r="25" spans="2:17" x14ac:dyDescent="0.25">
      <c r="B25" s="60"/>
      <c r="C25" s="64" t="s">
        <v>13</v>
      </c>
      <c r="D25" s="62">
        <f>GETPIVOTDATA("Sum of "&amp;T(Transactions!$J$19),Pivot!$A$3,"Customer",C25)</f>
        <v>12651.118592605892</v>
      </c>
      <c r="E25" s="62">
        <f>GETPIVOTDATA("Sum of "&amp;T(Transactions!$K$19),Pivot!$A$3,"Customer",C25)</f>
        <v>14285.712877397173</v>
      </c>
      <c r="F25" s="62">
        <f t="shared" si="1"/>
        <v>-1634.5942847912811</v>
      </c>
      <c r="G25" s="51">
        <f>+GETPIVOTDATA("Sum of "&amp;T(Transactions!$M$19),Pivot!$A$3,"Customer","ETEC")</f>
        <v>-133.97612435270455</v>
      </c>
      <c r="H25" s="51">
        <f>-'2021 NOLC Refund Detail'!D8</f>
        <v>-7387.6541814432876</v>
      </c>
      <c r="I25" s="63">
        <f t="shared" si="0"/>
        <v>-9156.2245905872733</v>
      </c>
      <c r="J25" s="60"/>
      <c r="L25" s="52"/>
      <c r="M25" s="51"/>
      <c r="N25" s="51"/>
      <c r="O25" s="51"/>
      <c r="P25" s="51"/>
      <c r="Q25" s="51"/>
    </row>
    <row r="26" spans="2:17" x14ac:dyDescent="0.25">
      <c r="B26" s="60"/>
      <c r="C26" s="61" t="s">
        <v>15</v>
      </c>
      <c r="D26" s="62">
        <f>GETPIVOTDATA("Sum of "&amp;T(Transactions!$J$19),Pivot!$A$3,"Customer",C26)</f>
        <v>131.16260036492622</v>
      </c>
      <c r="E26" s="62">
        <f>GETPIVOTDATA("Sum of "&amp;T(Transactions!$K$19),Pivot!$A$3,"Customer",C26)</f>
        <v>148.10953160784246</v>
      </c>
      <c r="F26" s="62">
        <f t="shared" si="1"/>
        <v>-16.946931242916236</v>
      </c>
      <c r="G26" s="51">
        <f>+GETPIVOTDATA("Sum of "&amp;T(Transactions!$M$19),Pivot!$A$3,"Customer","Greenbelt")</f>
        <v>-1.389020008648564</v>
      </c>
      <c r="H26" s="51">
        <f>-'2021 NOLC Refund Detail'!D9</f>
        <v>-72.42798217101263</v>
      </c>
      <c r="I26" s="63">
        <f t="shared" si="0"/>
        <v>-90.763933422577423</v>
      </c>
      <c r="J26" s="60"/>
      <c r="K26" s="65"/>
      <c r="L26" s="65"/>
      <c r="M26" s="65"/>
      <c r="N26" s="65"/>
      <c r="O26" s="51"/>
      <c r="P26" s="51"/>
      <c r="Q26" s="51"/>
    </row>
    <row r="27" spans="2:17" x14ac:dyDescent="0.25">
      <c r="B27" s="60"/>
      <c r="C27" s="61" t="s">
        <v>59</v>
      </c>
      <c r="D27" s="62">
        <f>GETPIVOTDATA("Sum of "&amp;T(Transactions!$J$19),Pivot!$A$3,"Customer",C27)</f>
        <v>553.79764598524389</v>
      </c>
      <c r="E27" s="62">
        <f>GETPIVOTDATA("Sum of "&amp;T(Transactions!$K$19),Pivot!$A$3,"Customer",C27)</f>
        <v>625.35135567755685</v>
      </c>
      <c r="F27" s="62">
        <f t="shared" si="1"/>
        <v>-71.553709692312964</v>
      </c>
      <c r="G27" s="51">
        <f>+GETPIVOTDATA("Sum of "&amp;T(Transactions!$M$19),Pivot!$A$3,"Customer","Hope, AR")</f>
        <v>-5.8647511476272705</v>
      </c>
      <c r="H27" s="51">
        <f>-'2021 NOLC Refund Detail'!D10</f>
        <v>-362.13991085506314</v>
      </c>
      <c r="I27" s="63">
        <f t="shared" si="0"/>
        <v>-439.55837169500336</v>
      </c>
      <c r="J27" s="60"/>
      <c r="K27" s="65"/>
      <c r="L27" s="65"/>
      <c r="M27" s="65"/>
      <c r="N27" s="65"/>
      <c r="O27" s="51"/>
      <c r="P27" s="51"/>
      <c r="Q27" s="51"/>
    </row>
    <row r="28" spans="2:17" x14ac:dyDescent="0.25">
      <c r="B28" s="60"/>
      <c r="C28" s="61" t="s">
        <v>16</v>
      </c>
      <c r="D28" s="62">
        <f>GETPIVOTDATA("Sum of "&amp;T(Transactions!$J$19),Pivot!$A$3,"Customer",C28)</f>
        <v>68.010237226258027</v>
      </c>
      <c r="E28" s="62">
        <f>GETPIVOTDATA("Sum of "&amp;T(Transactions!$K$19),Pivot!$A$3,"Customer",C28)</f>
        <v>76.797534907770157</v>
      </c>
      <c r="F28" s="62">
        <f t="shared" si="1"/>
        <v>-8.7872976815121291</v>
      </c>
      <c r="G28" s="51">
        <f>+GETPIVOTDATA("Sum of "&amp;T(Transactions!$M$19),Pivot!$A$3,"Customer","Lighthouse")</f>
        <v>-0.72023259707703324</v>
      </c>
      <c r="H28" s="51">
        <f>-'2021 NOLC Refund Detail'!D11</f>
        <v>0</v>
      </c>
      <c r="I28" s="63">
        <f t="shared" si="0"/>
        <v>-9.5075302785891616</v>
      </c>
      <c r="J28" s="60"/>
      <c r="L28" s="50"/>
      <c r="M28" s="51"/>
      <c r="N28" s="51"/>
      <c r="O28" s="51"/>
      <c r="P28" s="51"/>
      <c r="Q28" s="51"/>
    </row>
    <row r="29" spans="2:17" x14ac:dyDescent="0.25">
      <c r="B29" s="60"/>
      <c r="C29" s="64" t="s">
        <v>58</v>
      </c>
      <c r="D29" s="62">
        <f>GETPIVOTDATA("Sum of "&amp;T(Transactions!$J$19),Pivot!$A$3,"Customer",C29)</f>
        <v>401.98908074806081</v>
      </c>
      <c r="E29" s="62">
        <f>GETPIVOTDATA("Sum of "&amp;T(Transactions!$K$19),Pivot!$A$3,"Customer",C29)</f>
        <v>453.9282866869986</v>
      </c>
      <c r="F29" s="62">
        <f t="shared" si="1"/>
        <v>-51.939205938937789</v>
      </c>
      <c r="G29" s="51">
        <f>+GETPIVOTDATA("Sum of "&amp;T(Transactions!$M$19),Pivot!$A$3,"Customer","Minden, LA")</f>
        <v>-4.2570891005803224</v>
      </c>
      <c r="H29" s="51">
        <f>-'2021 NOLC Refund Detail'!D12</f>
        <v>-217.28394651303788</v>
      </c>
      <c r="I29" s="63">
        <f t="shared" si="0"/>
        <v>-273.48024155255598</v>
      </c>
      <c r="J29" s="60"/>
      <c r="L29" s="50"/>
      <c r="M29" s="51"/>
      <c r="N29" s="51"/>
      <c r="O29" s="51"/>
      <c r="P29" s="51"/>
      <c r="Q29" s="51"/>
    </row>
    <row r="30" spans="2:17" x14ac:dyDescent="0.25">
      <c r="B30" s="60"/>
      <c r="C30" s="64" t="s">
        <v>19</v>
      </c>
      <c r="D30" s="62">
        <f>GETPIVOTDATA("Sum of "&amp;T(Transactions!$J$19),Pivot!$A$3,"Customer",C30)</f>
        <v>898.7067062041242</v>
      </c>
      <c r="E30" s="62">
        <f>GETPIVOTDATA("Sum of "&amp;T(Transactions!$K$19),Pivot!$A$3,"Customer",C30)</f>
        <v>1014.8245684241056</v>
      </c>
      <c r="F30" s="62">
        <f t="shared" si="1"/>
        <v>-116.11786221998136</v>
      </c>
      <c r="G30" s="51">
        <f>+GETPIVOTDATA("Sum of "&amp;T(Transactions!$M$19),Pivot!$A$3,"Customer","OG&amp;E")</f>
        <v>-9.5173593185179399</v>
      </c>
      <c r="H30" s="51">
        <f>-'2021 NOLC Refund Detail'!D13</f>
        <v>-362.13991085506314</v>
      </c>
      <c r="I30" s="63">
        <f t="shared" si="0"/>
        <v>-487.77513239356244</v>
      </c>
      <c r="J30" s="60"/>
    </row>
    <row r="31" spans="2:17" x14ac:dyDescent="0.25">
      <c r="B31" s="60"/>
      <c r="C31" s="61" t="s">
        <v>8</v>
      </c>
      <c r="D31" s="62">
        <f>GETPIVOTDATA("Sum of "&amp;T(Transactions!$J$19),Pivot!$A$3,"Customer",C31)</f>
        <v>1541.1605542878831</v>
      </c>
      <c r="E31" s="62">
        <f>GETPIVOTDATA("Sum of "&amp;T(Transactions!$K$19),Pivot!$A$3,"Customer",C31)</f>
        <v>1740.2869963921487</v>
      </c>
      <c r="F31" s="62">
        <f t="shared" si="1"/>
        <v>-199.12644210426561</v>
      </c>
      <c r="G31" s="51">
        <f>+GETPIVOTDATA("Sum of "&amp;T(Transactions!$M$19),Pivot!$A$3,"Customer","OMPA")</f>
        <v>-16.320985101620629</v>
      </c>
      <c r="H31" s="51">
        <f>-'2021 NOLC Refund Detail'!D14</f>
        <v>-941.56376822316406</v>
      </c>
      <c r="I31" s="63">
        <f t="shared" si="0"/>
        <v>-1157.0111954290503</v>
      </c>
      <c r="J31" s="60"/>
    </row>
    <row r="32" spans="2:17" x14ac:dyDescent="0.25">
      <c r="B32" s="60"/>
      <c r="C32" s="61" t="s">
        <v>57</v>
      </c>
      <c r="D32" s="62">
        <f>GETPIVOTDATA("Sum of "&amp;T(Transactions!$J$19),Pivot!$A$3,"Customer",C32)</f>
        <v>146.95069114959324</v>
      </c>
      <c r="E32" s="62">
        <f>GETPIVOTDATA("Sum of "&amp;T(Transactions!$K$19),Pivot!$A$3,"Customer",C32)</f>
        <v>165.93753078286053</v>
      </c>
      <c r="F32" s="62">
        <f t="shared" si="1"/>
        <v>-18.986839633267294</v>
      </c>
      <c r="G32" s="51">
        <f>+GETPIVOTDATA("Sum of "&amp;T(Transactions!$M$19),Pivot!$A$3,"Customer","Prescott, AR")</f>
        <v>-1.5562168615414467</v>
      </c>
      <c r="H32" s="51">
        <f>-'2021 NOLC Refund Detail'!D15</f>
        <v>-72.42798217101263</v>
      </c>
      <c r="I32" s="63">
        <f t="shared" si="0"/>
        <v>-92.971038665821368</v>
      </c>
      <c r="J32" s="60"/>
    </row>
    <row r="33" spans="2:10" x14ac:dyDescent="0.25">
      <c r="B33" s="60"/>
      <c r="C33" s="66" t="s">
        <v>9</v>
      </c>
      <c r="D33" s="62">
        <f>GETPIVOTDATA("Sum of "&amp;T(Transactions!$J$19),Pivot!$A$3,"Customer",C33)</f>
        <v>748.11260948883842</v>
      </c>
      <c r="E33" s="62">
        <f>GETPIVOTDATA("Sum of "&amp;T(Transactions!$K$19),Pivot!$A$3,"Customer",C33)</f>
        <v>844.77288398547159</v>
      </c>
      <c r="F33" s="62">
        <f t="shared" si="1"/>
        <v>-96.660274496633178</v>
      </c>
      <c r="G33" s="51">
        <f>+GETPIVOTDATA("Sum of "&amp;T(Transactions!$M$19),Pivot!$A$3,"Customer","WFEC")</f>
        <v>-7.922558567847366</v>
      </c>
      <c r="H33" s="51">
        <f>-'2021 NOLC Refund Detail'!D16</f>
        <v>-362.13991085506314</v>
      </c>
      <c r="I33" s="63">
        <f t="shared" si="0"/>
        <v>-466.72274391954369</v>
      </c>
      <c r="J33" s="60"/>
    </row>
    <row r="34" spans="2:10" ht="23" x14ac:dyDescent="0.25">
      <c r="C34" s="67" t="s">
        <v>44</v>
      </c>
      <c r="D34" s="68">
        <f t="shared" ref="D34:I34" si="2">SUM(D21:D33)</f>
        <v>32773.64753192498</v>
      </c>
      <c r="E34" s="68">
        <f t="shared" si="2"/>
        <v>37008.183518233658</v>
      </c>
      <c r="F34" s="68">
        <f t="shared" si="2"/>
        <v>-4234.5359863086824</v>
      </c>
      <c r="G34" s="69">
        <f t="shared" si="2"/>
        <v>-347.07494401287175</v>
      </c>
      <c r="H34" s="69">
        <f t="shared" si="2"/>
        <v>-18831.275364463276</v>
      </c>
      <c r="I34" s="70">
        <f t="shared" si="2"/>
        <v>-23412.886294784836</v>
      </c>
    </row>
    <row r="35" spans="2:10" x14ac:dyDescent="0.25">
      <c r="C35" s="71" t="s">
        <v>21</v>
      </c>
      <c r="D35" s="62">
        <f>GETPIVOTDATA("Sum of "&amp;T(Transactions!$J$19),Pivot!$A$3,"Customer",C35)</f>
        <v>46215.38513228613</v>
      </c>
      <c r="E35" s="62">
        <f>GETPIVOTDATA("Sum of "&amp;T(Transactions!$K$19),Pivot!$A$3,"Customer",C35)</f>
        <v>52186.667738933669</v>
      </c>
      <c r="F35" s="62">
        <f t="shared" si="1"/>
        <v>-5971.2826066475391</v>
      </c>
      <c r="G35" s="51">
        <f>+GETPIVOTDATA("Sum of "&amp;T(Transactions!$M$19),Pivot!$A$3,"Customer","PSO")</f>
        <v>-489.42377230659685</v>
      </c>
      <c r="H35" s="51">
        <f>-'2021 NOLC Refund Detail'!D18</f>
        <v>-26798.353403274672</v>
      </c>
      <c r="I35" s="63">
        <f t="shared" ref="I35:I37" si="3">F35+G35+H35</f>
        <v>-33259.059782228811</v>
      </c>
    </row>
    <row r="36" spans="2:10" x14ac:dyDescent="0.25">
      <c r="C36" s="72" t="s">
        <v>22</v>
      </c>
      <c r="D36" s="62">
        <f>GETPIVOTDATA("Sum of "&amp;T(Transactions!$J$19),Pivot!$A$3,"Customer",C36)</f>
        <v>43131.84955518847</v>
      </c>
      <c r="E36" s="62">
        <f>GETPIVOTDATA("Sum of "&amp;T(Transactions!$K$19),Pivot!$A$3,"Customer",C36)</f>
        <v>48704.722361597451</v>
      </c>
      <c r="F36" s="62">
        <f>D36-E36</f>
        <v>-5572.872806408981</v>
      </c>
      <c r="G36" s="51">
        <f>+GETPIVOTDATA("Sum of "&amp;T(Transactions!$M$19),Pivot!$A$3,"Customer","SWEPCO")</f>
        <v>-456.76894080697912</v>
      </c>
      <c r="H36" s="51">
        <f>-'2021 NOLC Refund Detail'!D19</f>
        <v>-25639.505688538469</v>
      </c>
      <c r="I36" s="63">
        <f t="shared" si="3"/>
        <v>-31669.147435754428</v>
      </c>
    </row>
    <row r="37" spans="2:10" x14ac:dyDescent="0.25">
      <c r="C37" s="73" t="s">
        <v>83</v>
      </c>
      <c r="D37" s="62">
        <f>GETPIVOTDATA("Sum of "&amp;T(Transactions!$J$19),Pivot!$A$3,"Customer",C37)</f>
        <v>1971.0824110395856</v>
      </c>
      <c r="E37" s="62">
        <f>GETPIVOTDATA("Sum of "&amp;T(Transactions!$K$19),Pivot!$A$3,"Customer",C37)</f>
        <v>2225.75712777341</v>
      </c>
      <c r="F37" s="62">
        <f>D37-E37</f>
        <v>-254.67471673382443</v>
      </c>
      <c r="G37" s="51">
        <f>+GETPIVOTDATA("Sum of "&amp;T(Transactions!$M$19),Pivot!$A$3,"Customer","SWEPCO-Valley")</f>
        <v>-20.873884018857584</v>
      </c>
      <c r="H37" s="51">
        <f>-'2021 NOLC Refund Detail'!D20</f>
        <v>-1158.8477147362021</v>
      </c>
      <c r="I37" s="63">
        <f t="shared" si="3"/>
        <v>-1434.3963154888841</v>
      </c>
    </row>
    <row r="38" spans="2:10" ht="23" x14ac:dyDescent="0.25">
      <c r="C38" s="74" t="s">
        <v>53</v>
      </c>
      <c r="D38" s="75">
        <f t="shared" ref="D38:I38" si="4">SUM(D35:D37)</f>
        <v>91318.317098514191</v>
      </c>
      <c r="E38" s="75">
        <f t="shared" si="4"/>
        <v>103117.14722830453</v>
      </c>
      <c r="F38" s="75">
        <f t="shared" si="4"/>
        <v>-11798.830129790345</v>
      </c>
      <c r="G38" s="76">
        <f t="shared" si="4"/>
        <v>-967.06659713243357</v>
      </c>
      <c r="H38" s="76">
        <f t="shared" si="4"/>
        <v>-53596.706806549337</v>
      </c>
      <c r="I38" s="77">
        <f t="shared" si="4"/>
        <v>-66362.603533472124</v>
      </c>
    </row>
    <row r="39" spans="2:10" ht="23.25" customHeight="1" thickBot="1" x14ac:dyDescent="0.3">
      <c r="C39" s="78" t="s">
        <v>45</v>
      </c>
      <c r="D39" s="79">
        <f t="shared" ref="D39:I39" si="5">SUM(D34,D38)</f>
        <v>124091.96463043918</v>
      </c>
      <c r="E39" s="80">
        <f t="shared" si="5"/>
        <v>140125.33074653818</v>
      </c>
      <c r="F39" s="79">
        <f t="shared" si="5"/>
        <v>-16033.366116099027</v>
      </c>
      <c r="G39" s="80">
        <f t="shared" si="5"/>
        <v>-1314.1415411453054</v>
      </c>
      <c r="H39" s="80">
        <f t="shared" si="5"/>
        <v>-72427.982171012613</v>
      </c>
      <c r="I39" s="81">
        <f t="shared" si="5"/>
        <v>-89775.489828256963</v>
      </c>
    </row>
    <row r="40" spans="2:10" x14ac:dyDescent="0.25">
      <c r="E40" s="50"/>
      <c r="F40" s="50"/>
      <c r="G40" s="50"/>
      <c r="H40" s="50"/>
    </row>
  </sheetData>
  <mergeCells count="4">
    <mergeCell ref="C1:I1"/>
    <mergeCell ref="C2:I2"/>
    <mergeCell ref="C3:I3"/>
    <mergeCell ref="C4:I4"/>
  </mergeCells>
  <phoneticPr fontId="6" type="noConversion"/>
  <printOptions horizontalCentered="1"/>
  <pageMargins left="0.5" right="0.75" top="0.9" bottom="0.53" header="0.5" footer="0.5"/>
  <pageSetup scale="6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O123"/>
  <sheetViews>
    <sheetView zoomScale="85" workbookViewId="0">
      <pane xSplit="2" ySplit="4" topLeftCell="F104" activePane="bottomRight" state="frozen"/>
      <selection pane="topRight" activeCell="C1" sqref="C1"/>
      <selection pane="bottomLeft" activeCell="A5" sqref="A5"/>
      <selection pane="bottomRight" activeCell="I111" sqref="I111"/>
    </sheetView>
  </sheetViews>
  <sheetFormatPr defaultColWidth="8.7265625" defaultRowHeight="12.5" x14ac:dyDescent="0.25"/>
  <cols>
    <col min="1" max="1" width="19.1796875" style="1" customWidth="1"/>
    <col min="2" max="2" width="27.81640625" style="1" bestFit="1" customWidth="1"/>
    <col min="3" max="14" width="14.81640625" style="1" bestFit="1" customWidth="1"/>
    <col min="15" max="15" width="10.36328125" style="1" bestFit="1" customWidth="1"/>
    <col min="16" max="16384" width="8.7265625" style="1"/>
  </cols>
  <sheetData>
    <row r="3" spans="1:15" x14ac:dyDescent="0.25">
      <c r="A3" s="82"/>
      <c r="B3" s="83"/>
      <c r="C3" s="84" t="s">
        <v>55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5"/>
    </row>
    <row r="4" spans="1:15" x14ac:dyDescent="0.25">
      <c r="A4" s="84" t="s">
        <v>0</v>
      </c>
      <c r="B4" s="84" t="s">
        <v>24</v>
      </c>
      <c r="C4" s="86">
        <v>44927</v>
      </c>
      <c r="D4" s="87">
        <v>44958</v>
      </c>
      <c r="E4" s="87">
        <v>44986</v>
      </c>
      <c r="F4" s="87">
        <v>45017</v>
      </c>
      <c r="G4" s="87">
        <v>45047</v>
      </c>
      <c r="H4" s="87">
        <v>45078</v>
      </c>
      <c r="I4" s="87">
        <v>45108</v>
      </c>
      <c r="J4" s="87">
        <v>45139</v>
      </c>
      <c r="K4" s="87">
        <v>45170</v>
      </c>
      <c r="L4" s="87">
        <v>45200</v>
      </c>
      <c r="M4" s="87">
        <v>45231</v>
      </c>
      <c r="N4" s="87">
        <v>45261</v>
      </c>
      <c r="O4" s="88" t="s">
        <v>18</v>
      </c>
    </row>
    <row r="5" spans="1:15" x14ac:dyDescent="0.25">
      <c r="A5" s="82" t="s">
        <v>14</v>
      </c>
      <c r="B5" s="82" t="s">
        <v>72</v>
      </c>
      <c r="C5" s="89">
        <v>1005.5799361311009</v>
      </c>
      <c r="D5" s="90">
        <v>954.57225821140742</v>
      </c>
      <c r="E5" s="90">
        <v>852.55690237202032</v>
      </c>
      <c r="F5" s="90">
        <v>630.3091628647843</v>
      </c>
      <c r="G5" s="90">
        <v>874.41733576617469</v>
      </c>
      <c r="H5" s="90">
        <v>1184.1068088500283</v>
      </c>
      <c r="I5" s="90">
        <v>1122.1689142332575</v>
      </c>
      <c r="J5" s="90">
        <v>1278.8353535580306</v>
      </c>
      <c r="K5" s="90">
        <v>1099.0940123172056</v>
      </c>
      <c r="L5" s="90">
        <v>842.84115419684065</v>
      </c>
      <c r="M5" s="90">
        <v>893.84883211653414</v>
      </c>
      <c r="N5" s="90">
        <v>865.91605611289242</v>
      </c>
      <c r="O5" s="91">
        <v>11604.246726730275</v>
      </c>
    </row>
    <row r="6" spans="1:15" ht="13" x14ac:dyDescent="0.3">
      <c r="A6" s="214"/>
      <c r="B6" s="92" t="s">
        <v>25</v>
      </c>
      <c r="C6" s="247">
        <v>-129.92647286235763</v>
      </c>
      <c r="D6" s="248">
        <v>-123.33599960122365</v>
      </c>
      <c r="E6" s="248">
        <v>-110.15505307895546</v>
      </c>
      <c r="F6" s="248">
        <v>-81.439419584014104</v>
      </c>
      <c r="G6" s="248">
        <v>-112.97954161944153</v>
      </c>
      <c r="H6" s="248">
        <v>-152.99312927632695</v>
      </c>
      <c r="I6" s="248">
        <v>-144.99041174495005</v>
      </c>
      <c r="J6" s="248">
        <v>-165.23257961843296</v>
      </c>
      <c r="K6" s="248">
        <v>-142.00900717443687</v>
      </c>
      <c r="L6" s="248">
        <v>-108.89972483873942</v>
      </c>
      <c r="M6" s="248">
        <v>-115.49019809987351</v>
      </c>
      <c r="N6" s="248">
        <v>-111.88112940925248</v>
      </c>
      <c r="O6" s="249">
        <v>-1499.3326669080047</v>
      </c>
    </row>
    <row r="7" spans="1:15" ht="13" x14ac:dyDescent="0.3">
      <c r="A7" s="214"/>
      <c r="B7" s="92" t="s">
        <v>26</v>
      </c>
      <c r="C7" s="247">
        <v>-10.649153399638992</v>
      </c>
      <c r="D7" s="248">
        <v>-10.108978951831217</v>
      </c>
      <c r="E7" s="248">
        <v>-9.0286300562156665</v>
      </c>
      <c r="F7" s="248">
        <v>-6.6750128193389324</v>
      </c>
      <c r="G7" s="248">
        <v>-9.2601333909904273</v>
      </c>
      <c r="H7" s="248">
        <v>-12.539763966966204</v>
      </c>
      <c r="I7" s="248">
        <v>-11.883837851771048</v>
      </c>
      <c r="J7" s="248">
        <v>-13.542945084323501</v>
      </c>
      <c r="K7" s="248">
        <v>-11.639473220619912</v>
      </c>
      <c r="L7" s="248">
        <v>-8.9257396852046629</v>
      </c>
      <c r="M7" s="248">
        <v>-9.4659141330124363</v>
      </c>
      <c r="N7" s="248">
        <v>-9.1701043163557987</v>
      </c>
      <c r="O7" s="249">
        <v>-122.8896868762688</v>
      </c>
    </row>
    <row r="8" spans="1:15" ht="13" x14ac:dyDescent="0.3">
      <c r="A8" s="214"/>
      <c r="B8" s="92" t="s">
        <v>27</v>
      </c>
      <c r="C8" s="247">
        <v>-140.57562626199663</v>
      </c>
      <c r="D8" s="248">
        <v>-133.44497855305485</v>
      </c>
      <c r="E8" s="248">
        <v>-119.18368313517112</v>
      </c>
      <c r="F8" s="248">
        <v>-88.114432403353035</v>
      </c>
      <c r="G8" s="248">
        <v>-122.23967501043197</v>
      </c>
      <c r="H8" s="248">
        <v>-165.53289324329316</v>
      </c>
      <c r="I8" s="248">
        <v>-156.87424959672109</v>
      </c>
      <c r="J8" s="248">
        <v>-178.77552470275646</v>
      </c>
      <c r="K8" s="248">
        <v>-153.64848039505679</v>
      </c>
      <c r="L8" s="248">
        <v>-117.82546452394408</v>
      </c>
      <c r="M8" s="248">
        <v>-124.95611223288594</v>
      </c>
      <c r="N8" s="248">
        <v>-121.05123372560828</v>
      </c>
      <c r="O8" s="249">
        <v>-1622.2223537842733</v>
      </c>
    </row>
    <row r="9" spans="1:15" x14ac:dyDescent="0.25">
      <c r="A9" s="214"/>
      <c r="B9" s="92" t="s">
        <v>51</v>
      </c>
      <c r="C9" s="93">
        <v>1135.5064089934585</v>
      </c>
      <c r="D9" s="94">
        <v>1077.9082578126311</v>
      </c>
      <c r="E9" s="94">
        <v>962.71195545097578</v>
      </c>
      <c r="F9" s="94">
        <v>711.7485824487984</v>
      </c>
      <c r="G9" s="94">
        <v>987.39687738561622</v>
      </c>
      <c r="H9" s="94">
        <v>1337.0999381263553</v>
      </c>
      <c r="I9" s="94">
        <v>1267.1593259782076</v>
      </c>
      <c r="J9" s="94">
        <v>1444.0679331764636</v>
      </c>
      <c r="K9" s="94">
        <v>1241.1030194916425</v>
      </c>
      <c r="L9" s="94">
        <v>951.74087903558006</v>
      </c>
      <c r="M9" s="94">
        <v>1009.3390302164077</v>
      </c>
      <c r="N9" s="94">
        <v>977.7971855221449</v>
      </c>
      <c r="O9" s="95">
        <v>13103.579393638283</v>
      </c>
    </row>
    <row r="10" spans="1:15" x14ac:dyDescent="0.25">
      <c r="A10" s="214"/>
      <c r="B10" s="92" t="s">
        <v>89</v>
      </c>
      <c r="C10" s="93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  <c r="L10" s="94">
        <v>0</v>
      </c>
      <c r="M10" s="94">
        <v>0</v>
      </c>
      <c r="N10" s="94">
        <v>0</v>
      </c>
      <c r="O10" s="95">
        <v>0</v>
      </c>
    </row>
    <row r="11" spans="1:15" x14ac:dyDescent="0.25">
      <c r="A11" s="214"/>
      <c r="B11" s="92" t="s">
        <v>91</v>
      </c>
      <c r="C11" s="93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94">
        <v>0</v>
      </c>
      <c r="L11" s="94">
        <v>0</v>
      </c>
      <c r="M11" s="94">
        <v>0</v>
      </c>
      <c r="N11" s="94">
        <v>0</v>
      </c>
      <c r="O11" s="95">
        <v>0</v>
      </c>
    </row>
    <row r="12" spans="1:15" x14ac:dyDescent="0.25">
      <c r="A12" s="82" t="s">
        <v>17</v>
      </c>
      <c r="B12" s="82" t="s">
        <v>72</v>
      </c>
      <c r="C12" s="89">
        <v>126.30472627733636</v>
      </c>
      <c r="D12" s="90">
        <v>129.94813184302873</v>
      </c>
      <c r="E12" s="90">
        <v>125.09025775543888</v>
      </c>
      <c r="F12" s="90">
        <v>119.01791514595156</v>
      </c>
      <c r="G12" s="90">
        <v>127.51919479923382</v>
      </c>
      <c r="H12" s="90">
        <v>139.66388001820846</v>
      </c>
      <c r="I12" s="90">
        <v>133.59153740872114</v>
      </c>
      <c r="J12" s="90">
        <v>132.37706888682368</v>
      </c>
      <c r="K12" s="90">
        <v>136.02047445251605</v>
      </c>
      <c r="L12" s="90">
        <v>129.94813184302873</v>
      </c>
      <c r="M12" s="90">
        <v>126.30472627733636</v>
      </c>
      <c r="N12" s="90">
        <v>122.66132071164395</v>
      </c>
      <c r="O12" s="91">
        <v>1548.447365419268</v>
      </c>
    </row>
    <row r="13" spans="1:15" ht="13" x14ac:dyDescent="0.3">
      <c r="A13" s="214"/>
      <c r="B13" s="92" t="s">
        <v>25</v>
      </c>
      <c r="C13" s="247">
        <v>-16.319267122808213</v>
      </c>
      <c r="D13" s="248">
        <v>-16.790015212889244</v>
      </c>
      <c r="E13" s="248">
        <v>-16.162351092781208</v>
      </c>
      <c r="F13" s="248">
        <v>-15.377770942646194</v>
      </c>
      <c r="G13" s="248">
        <v>-16.476183152835205</v>
      </c>
      <c r="H13" s="248">
        <v>-18.045343453105232</v>
      </c>
      <c r="I13" s="248">
        <v>-17.260763302970219</v>
      </c>
      <c r="J13" s="248">
        <v>-17.103847272943227</v>
      </c>
      <c r="K13" s="248">
        <v>-17.57459536302423</v>
      </c>
      <c r="L13" s="248">
        <v>-16.790015212889244</v>
      </c>
      <c r="M13" s="248">
        <v>-16.319267122808213</v>
      </c>
      <c r="N13" s="248">
        <v>-15.848519032727211</v>
      </c>
      <c r="O13" s="249">
        <v>-200.06793828442764</v>
      </c>
    </row>
    <row r="14" spans="1:15" ht="13" x14ac:dyDescent="0.3">
      <c r="A14" s="214"/>
      <c r="B14" s="92" t="s">
        <v>26</v>
      </c>
      <c r="C14" s="247">
        <v>-1.3375748231430615</v>
      </c>
      <c r="D14" s="248">
        <v>-1.3761587122721886</v>
      </c>
      <c r="E14" s="248">
        <v>-1.3247135267666861</v>
      </c>
      <c r="F14" s="248">
        <v>-1.2604070448848081</v>
      </c>
      <c r="G14" s="248">
        <v>-1.3504361195194372</v>
      </c>
      <c r="H14" s="248">
        <v>-1.4790490832831931</v>
      </c>
      <c r="I14" s="248">
        <v>-1.4147426014013154</v>
      </c>
      <c r="J14" s="248">
        <v>-1.4018813050249397</v>
      </c>
      <c r="K14" s="248">
        <v>-1.4404651941540665</v>
      </c>
      <c r="L14" s="248">
        <v>-1.3761587122721886</v>
      </c>
      <c r="M14" s="248">
        <v>-1.3375748231430615</v>
      </c>
      <c r="N14" s="248">
        <v>-1.298990934013935</v>
      </c>
      <c r="O14" s="249">
        <v>-16.398152879878882</v>
      </c>
    </row>
    <row r="15" spans="1:15" ht="13" x14ac:dyDescent="0.3">
      <c r="A15" s="214"/>
      <c r="B15" s="92" t="s">
        <v>27</v>
      </c>
      <c r="C15" s="247">
        <v>-17.656841945951275</v>
      </c>
      <c r="D15" s="248">
        <v>-18.166173925161434</v>
      </c>
      <c r="E15" s="248">
        <v>-17.487064619547894</v>
      </c>
      <c r="F15" s="248">
        <v>-16.638177987531002</v>
      </c>
      <c r="G15" s="248">
        <v>-17.826619272354641</v>
      </c>
      <c r="H15" s="248">
        <v>-19.524392536388426</v>
      </c>
      <c r="I15" s="248">
        <v>-18.675505904371533</v>
      </c>
      <c r="J15" s="248">
        <v>-18.505728577968167</v>
      </c>
      <c r="K15" s="248">
        <v>-19.015060557178295</v>
      </c>
      <c r="L15" s="248">
        <v>-18.166173925161434</v>
      </c>
      <c r="M15" s="248">
        <v>-17.656841945951275</v>
      </c>
      <c r="N15" s="248">
        <v>-17.147509966741147</v>
      </c>
      <c r="O15" s="249">
        <v>-216.46609116430653</v>
      </c>
    </row>
    <row r="16" spans="1:15" x14ac:dyDescent="0.25">
      <c r="A16" s="214"/>
      <c r="B16" s="92" t="s">
        <v>51</v>
      </c>
      <c r="C16" s="93">
        <v>142.62399340014457</v>
      </c>
      <c r="D16" s="94">
        <v>146.73814705591798</v>
      </c>
      <c r="E16" s="94">
        <v>141.25260884822009</v>
      </c>
      <c r="F16" s="94">
        <v>134.39568608859776</v>
      </c>
      <c r="G16" s="94">
        <v>143.99537795206902</v>
      </c>
      <c r="H16" s="94">
        <v>157.70922347131369</v>
      </c>
      <c r="I16" s="94">
        <v>150.85230071169136</v>
      </c>
      <c r="J16" s="94">
        <v>149.48091615976691</v>
      </c>
      <c r="K16" s="94">
        <v>153.59506981554028</v>
      </c>
      <c r="L16" s="94">
        <v>146.73814705591798</v>
      </c>
      <c r="M16" s="94">
        <v>142.62399340014457</v>
      </c>
      <c r="N16" s="94">
        <v>138.50983974437116</v>
      </c>
      <c r="O16" s="95">
        <v>1748.5153037036955</v>
      </c>
    </row>
    <row r="17" spans="1:15" x14ac:dyDescent="0.25">
      <c r="A17" s="214"/>
      <c r="B17" s="92" t="s">
        <v>89</v>
      </c>
      <c r="C17" s="93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94">
        <v>0</v>
      </c>
      <c r="K17" s="94">
        <v>0</v>
      </c>
      <c r="L17" s="94">
        <v>0</v>
      </c>
      <c r="M17" s="94">
        <v>0</v>
      </c>
      <c r="N17" s="94">
        <v>0</v>
      </c>
      <c r="O17" s="95">
        <v>0</v>
      </c>
    </row>
    <row r="18" spans="1:15" x14ac:dyDescent="0.25">
      <c r="A18" s="214"/>
      <c r="B18" s="92" t="s">
        <v>91</v>
      </c>
      <c r="C18" s="93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  <c r="L18" s="94">
        <v>0</v>
      </c>
      <c r="M18" s="94">
        <v>0</v>
      </c>
      <c r="N18" s="94">
        <v>0</v>
      </c>
      <c r="O18" s="95">
        <v>0</v>
      </c>
    </row>
    <row r="19" spans="1:15" x14ac:dyDescent="0.25">
      <c r="A19" s="82" t="s">
        <v>13</v>
      </c>
      <c r="B19" s="82" t="s">
        <v>72</v>
      </c>
      <c r="C19" s="89">
        <v>1174.3910606748486</v>
      </c>
      <c r="D19" s="90">
        <v>1159.8174384120789</v>
      </c>
      <c r="E19" s="90">
        <v>1059.0165510945894</v>
      </c>
      <c r="F19" s="90">
        <v>731.11005018227388</v>
      </c>
      <c r="G19" s="90">
        <v>863.4871190690975</v>
      </c>
      <c r="H19" s="90">
        <v>1136.7425364960272</v>
      </c>
      <c r="I19" s="90">
        <v>1131.8846624084372</v>
      </c>
      <c r="J19" s="90">
        <v>1244.8302349449016</v>
      </c>
      <c r="K19" s="90">
        <v>1134.3135994522322</v>
      </c>
      <c r="L19" s="90">
        <v>850.1279653282254</v>
      </c>
      <c r="M19" s="90">
        <v>1052.9442084851021</v>
      </c>
      <c r="N19" s="90">
        <v>1112.4531660580778</v>
      </c>
      <c r="O19" s="91">
        <v>12651.118592605892</v>
      </c>
    </row>
    <row r="20" spans="1:15" ht="13" x14ac:dyDescent="0.3">
      <c r="A20" s="214"/>
      <c r="B20" s="92" t="s">
        <v>25</v>
      </c>
      <c r="C20" s="247">
        <v>-151.73780103611102</v>
      </c>
      <c r="D20" s="248">
        <v>-149.85480867578713</v>
      </c>
      <c r="E20" s="248">
        <v>-136.83077818354582</v>
      </c>
      <c r="F20" s="248">
        <v>-94.463450076255185</v>
      </c>
      <c r="G20" s="248">
        <v>-111.5672973491985</v>
      </c>
      <c r="H20" s="248">
        <v>-146.87340410527372</v>
      </c>
      <c r="I20" s="248">
        <v>-146.24573998516598</v>
      </c>
      <c r="J20" s="248">
        <v>-160.83893077767698</v>
      </c>
      <c r="K20" s="248">
        <v>-146.55957204521997</v>
      </c>
      <c r="L20" s="248">
        <v>-109.84122101890148</v>
      </c>
      <c r="M20" s="248">
        <v>-136.04619803341075</v>
      </c>
      <c r="N20" s="248">
        <v>-143.73508350473389</v>
      </c>
      <c r="O20" s="249">
        <v>-1634.5942847912804</v>
      </c>
    </row>
    <row r="21" spans="1:15" ht="13" x14ac:dyDescent="0.3">
      <c r="A21" s="214"/>
      <c r="B21" s="92" t="s">
        <v>26</v>
      </c>
      <c r="C21" s="247">
        <v>-12.436873595955198</v>
      </c>
      <c r="D21" s="248">
        <v>-12.282538039438693</v>
      </c>
      <c r="E21" s="248">
        <v>-11.215050440199517</v>
      </c>
      <c r="F21" s="248">
        <v>-7.742500418578107</v>
      </c>
      <c r="G21" s="248">
        <v>-9.1443817236030469</v>
      </c>
      <c r="H21" s="248">
        <v>-12.038173408287557</v>
      </c>
      <c r="I21" s="248">
        <v>-11.986728222782054</v>
      </c>
      <c r="J21" s="248">
        <v>-13.182828785784983</v>
      </c>
      <c r="K21" s="248">
        <v>-12.012450815534804</v>
      </c>
      <c r="L21" s="248">
        <v>-9.0029074634629147</v>
      </c>
      <c r="M21" s="248">
        <v>-11.150743958317641</v>
      </c>
      <c r="N21" s="248">
        <v>-11.780947480760044</v>
      </c>
      <c r="O21" s="249">
        <v>-133.97612435270455</v>
      </c>
    </row>
    <row r="22" spans="1:15" ht="13" x14ac:dyDescent="0.3">
      <c r="A22" s="214"/>
      <c r="B22" s="92" t="s">
        <v>27</v>
      </c>
      <c r="C22" s="247">
        <v>-164.17467463206623</v>
      </c>
      <c r="D22" s="248">
        <v>-162.13734671522582</v>
      </c>
      <c r="E22" s="248">
        <v>-148.04582862374534</v>
      </c>
      <c r="F22" s="248">
        <v>-102.20595049483329</v>
      </c>
      <c r="G22" s="248">
        <v>-120.71167907280154</v>
      </c>
      <c r="H22" s="248">
        <v>-158.91157751356127</v>
      </c>
      <c r="I22" s="248">
        <v>-158.23246820794805</v>
      </c>
      <c r="J22" s="248">
        <v>-174.02175956346196</v>
      </c>
      <c r="K22" s="248">
        <v>-158.57202286075477</v>
      </c>
      <c r="L22" s="248">
        <v>-118.8441284823644</v>
      </c>
      <c r="M22" s="248">
        <v>-147.19694199172838</v>
      </c>
      <c r="N22" s="248">
        <v>-155.51603098549393</v>
      </c>
      <c r="O22" s="249">
        <v>-1768.5704091439848</v>
      </c>
    </row>
    <row r="23" spans="1:15" x14ac:dyDescent="0.25">
      <c r="A23" s="214"/>
      <c r="B23" s="92" t="s">
        <v>51</v>
      </c>
      <c r="C23" s="93">
        <v>1326.1288617109597</v>
      </c>
      <c r="D23" s="94">
        <v>1309.672247087866</v>
      </c>
      <c r="E23" s="94">
        <v>1195.8473292781352</v>
      </c>
      <c r="F23" s="94">
        <v>825.57350025852907</v>
      </c>
      <c r="G23" s="94">
        <v>975.054416418296</v>
      </c>
      <c r="H23" s="94">
        <v>1283.615940601301</v>
      </c>
      <c r="I23" s="94">
        <v>1278.1304023936032</v>
      </c>
      <c r="J23" s="94">
        <v>1405.6691657225786</v>
      </c>
      <c r="K23" s="94">
        <v>1280.8731714974522</v>
      </c>
      <c r="L23" s="94">
        <v>959.96918634712688</v>
      </c>
      <c r="M23" s="94">
        <v>1188.9904065185128</v>
      </c>
      <c r="N23" s="94">
        <v>1256.1882495628117</v>
      </c>
      <c r="O23" s="95">
        <v>14285.712877397173</v>
      </c>
    </row>
    <row r="24" spans="1:15" x14ac:dyDescent="0.25">
      <c r="A24" s="214"/>
      <c r="B24" s="92" t="s">
        <v>89</v>
      </c>
      <c r="C24" s="93">
        <v>0</v>
      </c>
      <c r="D24" s="94">
        <v>0</v>
      </c>
      <c r="E24" s="94">
        <v>0</v>
      </c>
      <c r="F24" s="94">
        <v>0</v>
      </c>
      <c r="G24" s="94">
        <v>0</v>
      </c>
      <c r="H24" s="94">
        <v>0</v>
      </c>
      <c r="I24" s="94">
        <v>0</v>
      </c>
      <c r="J24" s="94">
        <v>0</v>
      </c>
      <c r="K24" s="94">
        <v>0</v>
      </c>
      <c r="L24" s="94">
        <v>0</v>
      </c>
      <c r="M24" s="94">
        <v>0</v>
      </c>
      <c r="N24" s="94">
        <v>0</v>
      </c>
      <c r="O24" s="95">
        <v>0</v>
      </c>
    </row>
    <row r="25" spans="1:15" x14ac:dyDescent="0.25">
      <c r="A25" s="214"/>
      <c r="B25" s="92" t="s">
        <v>91</v>
      </c>
      <c r="C25" s="93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94">
        <v>0</v>
      </c>
      <c r="L25" s="94">
        <v>0</v>
      </c>
      <c r="M25" s="94">
        <v>0</v>
      </c>
      <c r="N25" s="94">
        <v>0</v>
      </c>
      <c r="O25" s="95">
        <v>0</v>
      </c>
    </row>
    <row r="26" spans="1:15" x14ac:dyDescent="0.25">
      <c r="A26" s="82" t="s">
        <v>15</v>
      </c>
      <c r="B26" s="82" t="s">
        <v>72</v>
      </c>
      <c r="C26" s="89">
        <v>7.2868111313847894</v>
      </c>
      <c r="D26" s="90">
        <v>6.0723426094873245</v>
      </c>
      <c r="E26" s="90">
        <v>6.0723426094873245</v>
      </c>
      <c r="F26" s="90">
        <v>8.5012796532822534</v>
      </c>
      <c r="G26" s="90">
        <v>4.8578740875898596</v>
      </c>
      <c r="H26" s="90">
        <v>17.002559306564507</v>
      </c>
      <c r="I26" s="90">
        <v>15.788090784667045</v>
      </c>
      <c r="J26" s="90">
        <v>23.074901916051832</v>
      </c>
      <c r="K26" s="90">
        <v>21.86043339415437</v>
      </c>
      <c r="L26" s="90">
        <v>7.2868111313847894</v>
      </c>
      <c r="M26" s="90">
        <v>7.2868111313847894</v>
      </c>
      <c r="N26" s="90">
        <v>6.0723426094873245</v>
      </c>
      <c r="O26" s="91">
        <v>131.16260036492622</v>
      </c>
    </row>
    <row r="27" spans="1:15" ht="13" x14ac:dyDescent="0.3">
      <c r="A27" s="214"/>
      <c r="B27" s="92" t="s">
        <v>25</v>
      </c>
      <c r="C27" s="247">
        <v>-0.94149618016201231</v>
      </c>
      <c r="D27" s="248">
        <v>-0.78458015013501026</v>
      </c>
      <c r="E27" s="248">
        <v>-0.78458015013501026</v>
      </c>
      <c r="F27" s="248">
        <v>-1.0984122101890144</v>
      </c>
      <c r="G27" s="248">
        <v>-0.62766412010800821</v>
      </c>
      <c r="H27" s="248">
        <v>-2.1968244203780287</v>
      </c>
      <c r="I27" s="248">
        <v>-2.0399083903510267</v>
      </c>
      <c r="J27" s="248">
        <v>-2.981404570513039</v>
      </c>
      <c r="K27" s="248">
        <v>-2.8244885404860369</v>
      </c>
      <c r="L27" s="248">
        <v>-0.94149618016201231</v>
      </c>
      <c r="M27" s="248">
        <v>-0.94149618016201231</v>
      </c>
      <c r="N27" s="248">
        <v>-0.78458015013501026</v>
      </c>
      <c r="O27" s="249">
        <v>-16.946931242916222</v>
      </c>
    </row>
    <row r="28" spans="1:15" ht="13" x14ac:dyDescent="0.3">
      <c r="A28" s="214"/>
      <c r="B28" s="92" t="s">
        <v>26</v>
      </c>
      <c r="C28" s="247">
        <v>-7.7167778258253564E-2</v>
      </c>
      <c r="D28" s="248">
        <v>-6.4306481881877972E-2</v>
      </c>
      <c r="E28" s="248">
        <v>-6.4306481881877972E-2</v>
      </c>
      <c r="F28" s="248">
        <v>-9.0029074634629155E-2</v>
      </c>
      <c r="G28" s="248">
        <v>-5.1445185505502367E-2</v>
      </c>
      <c r="H28" s="248">
        <v>-0.18005814926925831</v>
      </c>
      <c r="I28" s="248">
        <v>-0.16719685289288269</v>
      </c>
      <c r="J28" s="248">
        <v>-0.2443646311511363</v>
      </c>
      <c r="K28" s="248">
        <v>-0.23150333477476068</v>
      </c>
      <c r="L28" s="248">
        <v>-7.7167778258253564E-2</v>
      </c>
      <c r="M28" s="248">
        <v>-7.7167778258253564E-2</v>
      </c>
      <c r="N28" s="248">
        <v>-6.4306481881877972E-2</v>
      </c>
      <c r="O28" s="249">
        <v>-1.389020008648564</v>
      </c>
    </row>
    <row r="29" spans="1:15" ht="13" x14ac:dyDescent="0.3">
      <c r="A29" s="214"/>
      <c r="B29" s="92" t="s">
        <v>27</v>
      </c>
      <c r="C29" s="247">
        <v>-1.0186639584202659</v>
      </c>
      <c r="D29" s="248">
        <v>-0.84888663201688819</v>
      </c>
      <c r="E29" s="248">
        <v>-0.84888663201688819</v>
      </c>
      <c r="F29" s="248">
        <v>-1.1884412848236434</v>
      </c>
      <c r="G29" s="248">
        <v>-0.67910930561351057</v>
      </c>
      <c r="H29" s="248">
        <v>-2.3768825696472868</v>
      </c>
      <c r="I29" s="248">
        <v>-2.2071052432439093</v>
      </c>
      <c r="J29" s="248">
        <v>-3.2257692016641752</v>
      </c>
      <c r="K29" s="248">
        <v>-3.0559918752607977</v>
      </c>
      <c r="L29" s="248">
        <v>-1.0186639584202659</v>
      </c>
      <c r="M29" s="248">
        <v>-1.0186639584202659</v>
      </c>
      <c r="N29" s="248">
        <v>-0.84888663201688819</v>
      </c>
      <c r="O29" s="249">
        <v>-18.335951251564786</v>
      </c>
    </row>
    <row r="30" spans="1:15" x14ac:dyDescent="0.25">
      <c r="A30" s="214"/>
      <c r="B30" s="92" t="s">
        <v>51</v>
      </c>
      <c r="C30" s="93">
        <v>8.2283073115468017</v>
      </c>
      <c r="D30" s="94">
        <v>6.8569227596223348</v>
      </c>
      <c r="E30" s="94">
        <v>6.8569227596223348</v>
      </c>
      <c r="F30" s="94">
        <v>9.5996918634712678</v>
      </c>
      <c r="G30" s="94">
        <v>5.4855382076978678</v>
      </c>
      <c r="H30" s="94">
        <v>19.199383726942536</v>
      </c>
      <c r="I30" s="94">
        <v>17.827999175018071</v>
      </c>
      <c r="J30" s="94">
        <v>26.056306486564871</v>
      </c>
      <c r="K30" s="94">
        <v>24.684921934640407</v>
      </c>
      <c r="L30" s="94">
        <v>8.2283073115468017</v>
      </c>
      <c r="M30" s="94">
        <v>8.2283073115468017</v>
      </c>
      <c r="N30" s="94">
        <v>6.8569227596223348</v>
      </c>
      <c r="O30" s="95">
        <v>148.10953160784246</v>
      </c>
    </row>
    <row r="31" spans="1:15" x14ac:dyDescent="0.25">
      <c r="A31" s="214"/>
      <c r="B31" s="92" t="s">
        <v>89</v>
      </c>
      <c r="C31" s="93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94">
        <v>0</v>
      </c>
      <c r="L31" s="94">
        <v>0</v>
      </c>
      <c r="M31" s="94">
        <v>0</v>
      </c>
      <c r="N31" s="94">
        <v>0</v>
      </c>
      <c r="O31" s="95">
        <v>0</v>
      </c>
    </row>
    <row r="32" spans="1:15" x14ac:dyDescent="0.25">
      <c r="A32" s="214"/>
      <c r="B32" s="92" t="s">
        <v>91</v>
      </c>
      <c r="C32" s="93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  <c r="L32" s="94">
        <v>0</v>
      </c>
      <c r="M32" s="94">
        <v>0</v>
      </c>
      <c r="N32" s="94">
        <v>0</v>
      </c>
      <c r="O32" s="95">
        <v>0</v>
      </c>
    </row>
    <row r="33" spans="1:15" x14ac:dyDescent="0.25">
      <c r="A33" s="82" t="s">
        <v>16</v>
      </c>
      <c r="B33" s="82" t="s">
        <v>72</v>
      </c>
      <c r="C33" s="89">
        <v>4.8578740875898596</v>
      </c>
      <c r="D33" s="90">
        <v>6.0723426094873245</v>
      </c>
      <c r="E33" s="90">
        <v>1.2144685218974649</v>
      </c>
      <c r="F33" s="90">
        <v>8.5012796532822534</v>
      </c>
      <c r="G33" s="90">
        <v>3.6434055656923947</v>
      </c>
      <c r="H33" s="90">
        <v>8.5012796532822534</v>
      </c>
      <c r="I33" s="90">
        <v>6.0723426094873245</v>
      </c>
      <c r="J33" s="90">
        <v>6.0723426094873245</v>
      </c>
      <c r="K33" s="90">
        <v>7.2868111313847894</v>
      </c>
      <c r="L33" s="90">
        <v>6.0723426094873245</v>
      </c>
      <c r="M33" s="90">
        <v>4.8578740875898596</v>
      </c>
      <c r="N33" s="90">
        <v>4.8578740875898596</v>
      </c>
      <c r="O33" s="91">
        <v>68.010237226258027</v>
      </c>
    </row>
    <row r="34" spans="1:15" ht="13" x14ac:dyDescent="0.3">
      <c r="A34" s="214"/>
      <c r="B34" s="92" t="s">
        <v>25</v>
      </c>
      <c r="C34" s="247">
        <v>-0.62766412010800821</v>
      </c>
      <c r="D34" s="248">
        <v>-0.78458015013501026</v>
      </c>
      <c r="E34" s="248">
        <v>-0.15691603002700205</v>
      </c>
      <c r="F34" s="248">
        <v>-1.0984122101890144</v>
      </c>
      <c r="G34" s="248">
        <v>-0.47074809008100615</v>
      </c>
      <c r="H34" s="248">
        <v>-1.0984122101890144</v>
      </c>
      <c r="I34" s="248">
        <v>-0.78458015013501026</v>
      </c>
      <c r="J34" s="248">
        <v>-0.78458015013501026</v>
      </c>
      <c r="K34" s="248">
        <v>-0.94149618016201231</v>
      </c>
      <c r="L34" s="248">
        <v>-0.78458015013501026</v>
      </c>
      <c r="M34" s="248">
        <v>-0.62766412010800821</v>
      </c>
      <c r="N34" s="248">
        <v>-0.62766412010800821</v>
      </c>
      <c r="O34" s="249">
        <v>-8.7872976815121149</v>
      </c>
    </row>
    <row r="35" spans="1:15" ht="13" x14ac:dyDescent="0.3">
      <c r="A35" s="214"/>
      <c r="B35" s="92" t="s">
        <v>26</v>
      </c>
      <c r="C35" s="247">
        <v>-5.1445185505502367E-2</v>
      </c>
      <c r="D35" s="248">
        <v>-6.4306481881877972E-2</v>
      </c>
      <c r="E35" s="248">
        <v>-1.2861296376375592E-2</v>
      </c>
      <c r="F35" s="248">
        <v>-9.0029074634629155E-2</v>
      </c>
      <c r="G35" s="248">
        <v>-3.8583889129126782E-2</v>
      </c>
      <c r="H35" s="248">
        <v>-9.0029074634629155E-2</v>
      </c>
      <c r="I35" s="248">
        <v>-6.4306481881877972E-2</v>
      </c>
      <c r="J35" s="248">
        <v>-6.4306481881877972E-2</v>
      </c>
      <c r="K35" s="248">
        <v>-7.7167778258253564E-2</v>
      </c>
      <c r="L35" s="248">
        <v>-6.4306481881877972E-2</v>
      </c>
      <c r="M35" s="248">
        <v>-5.1445185505502367E-2</v>
      </c>
      <c r="N35" s="248">
        <v>-5.1445185505502367E-2</v>
      </c>
      <c r="O35" s="249">
        <v>-0.72023259707703324</v>
      </c>
    </row>
    <row r="36" spans="1:15" ht="13" x14ac:dyDescent="0.3">
      <c r="A36" s="214"/>
      <c r="B36" s="92" t="s">
        <v>27</v>
      </c>
      <c r="C36" s="247">
        <v>-0.67910930561351057</v>
      </c>
      <c r="D36" s="248">
        <v>-0.84888663201688819</v>
      </c>
      <c r="E36" s="248">
        <v>-0.16977732640337764</v>
      </c>
      <c r="F36" s="248">
        <v>-1.1884412848236434</v>
      </c>
      <c r="G36" s="248">
        <v>-0.50933197921013296</v>
      </c>
      <c r="H36" s="248">
        <v>-1.1884412848236434</v>
      </c>
      <c r="I36" s="248">
        <v>-0.84888663201688819</v>
      </c>
      <c r="J36" s="248">
        <v>-0.84888663201688819</v>
      </c>
      <c r="K36" s="248">
        <v>-1.0186639584202659</v>
      </c>
      <c r="L36" s="248">
        <v>-0.84888663201688819</v>
      </c>
      <c r="M36" s="248">
        <v>-0.67910930561351057</v>
      </c>
      <c r="N36" s="248">
        <v>-0.67910930561351057</v>
      </c>
      <c r="O36" s="249">
        <v>-9.5075302785891473</v>
      </c>
    </row>
    <row r="37" spans="1:15" x14ac:dyDescent="0.25">
      <c r="A37" s="214"/>
      <c r="B37" s="92" t="s">
        <v>51</v>
      </c>
      <c r="C37" s="93">
        <v>5.4855382076978678</v>
      </c>
      <c r="D37" s="94">
        <v>6.8569227596223348</v>
      </c>
      <c r="E37" s="94">
        <v>1.371384551924467</v>
      </c>
      <c r="F37" s="94">
        <v>9.5996918634712678</v>
      </c>
      <c r="G37" s="94">
        <v>4.1141536557734009</v>
      </c>
      <c r="H37" s="94">
        <v>9.5996918634712678</v>
      </c>
      <c r="I37" s="94">
        <v>6.8569227596223348</v>
      </c>
      <c r="J37" s="94">
        <v>6.8569227596223348</v>
      </c>
      <c r="K37" s="94">
        <v>8.2283073115468017</v>
      </c>
      <c r="L37" s="94">
        <v>6.8569227596223348</v>
      </c>
      <c r="M37" s="94">
        <v>5.4855382076978678</v>
      </c>
      <c r="N37" s="94">
        <v>5.4855382076978678</v>
      </c>
      <c r="O37" s="95">
        <v>76.797534907770157</v>
      </c>
    </row>
    <row r="38" spans="1:15" x14ac:dyDescent="0.25">
      <c r="A38" s="214"/>
      <c r="B38" s="92" t="s">
        <v>89</v>
      </c>
      <c r="C38" s="93">
        <v>0</v>
      </c>
      <c r="D38" s="94">
        <v>0</v>
      </c>
      <c r="E38" s="94">
        <v>0</v>
      </c>
      <c r="F38" s="94">
        <v>0</v>
      </c>
      <c r="G38" s="94">
        <v>0</v>
      </c>
      <c r="H38" s="94">
        <v>0</v>
      </c>
      <c r="I38" s="94">
        <v>0</v>
      </c>
      <c r="J38" s="94">
        <v>0</v>
      </c>
      <c r="K38" s="94">
        <v>0</v>
      </c>
      <c r="L38" s="94">
        <v>0</v>
      </c>
      <c r="M38" s="94">
        <v>0</v>
      </c>
      <c r="N38" s="94">
        <v>0</v>
      </c>
      <c r="O38" s="95">
        <v>0</v>
      </c>
    </row>
    <row r="39" spans="1:15" x14ac:dyDescent="0.25">
      <c r="A39" s="214"/>
      <c r="B39" s="92" t="s">
        <v>91</v>
      </c>
      <c r="C39" s="93">
        <v>0</v>
      </c>
      <c r="D39" s="94">
        <v>0</v>
      </c>
      <c r="E39" s="94">
        <v>0</v>
      </c>
      <c r="F39" s="94">
        <v>0</v>
      </c>
      <c r="G39" s="94">
        <v>0</v>
      </c>
      <c r="H39" s="94">
        <v>0</v>
      </c>
      <c r="I39" s="94">
        <v>0</v>
      </c>
      <c r="J39" s="94">
        <v>0</v>
      </c>
      <c r="K39" s="94">
        <v>0</v>
      </c>
      <c r="L39" s="94">
        <v>0</v>
      </c>
      <c r="M39" s="94">
        <v>0</v>
      </c>
      <c r="N39" s="94">
        <v>0</v>
      </c>
      <c r="O39" s="95">
        <v>0</v>
      </c>
    </row>
    <row r="40" spans="1:15" x14ac:dyDescent="0.25">
      <c r="A40" s="82" t="s">
        <v>19</v>
      </c>
      <c r="B40" s="82" t="s">
        <v>72</v>
      </c>
      <c r="C40" s="89">
        <v>76.511516879540295</v>
      </c>
      <c r="D40" s="90">
        <v>76.511516879540295</v>
      </c>
      <c r="E40" s="90">
        <v>81.369390967130144</v>
      </c>
      <c r="F40" s="90">
        <v>75.297048357642822</v>
      </c>
      <c r="G40" s="90">
        <v>61.937894616770713</v>
      </c>
      <c r="H40" s="90">
        <v>81.369390967130144</v>
      </c>
      <c r="I40" s="90">
        <v>80.154922445232685</v>
      </c>
      <c r="J40" s="90">
        <v>74.082579835745364</v>
      </c>
      <c r="K40" s="90">
        <v>66.795768704360569</v>
      </c>
      <c r="L40" s="90">
        <v>71.653642791950432</v>
      </c>
      <c r="M40" s="90">
        <v>76.511516879540295</v>
      </c>
      <c r="N40" s="90">
        <v>76.511516879540295</v>
      </c>
      <c r="O40" s="91">
        <v>898.7067062041242</v>
      </c>
    </row>
    <row r="41" spans="1:15" ht="13" x14ac:dyDescent="0.3">
      <c r="A41" s="214"/>
      <c r="B41" s="92" t="s">
        <v>25</v>
      </c>
      <c r="C41" s="247">
        <v>-9.8857098917011257</v>
      </c>
      <c r="D41" s="248">
        <v>-9.8857098917011257</v>
      </c>
      <c r="E41" s="248">
        <v>-10.513374011809148</v>
      </c>
      <c r="F41" s="248">
        <v>-9.7287938616741343</v>
      </c>
      <c r="G41" s="248">
        <v>-8.0027175313771082</v>
      </c>
      <c r="H41" s="248">
        <v>-10.513374011809148</v>
      </c>
      <c r="I41" s="248">
        <v>-10.356457981782128</v>
      </c>
      <c r="J41" s="248">
        <v>-9.5718778316471145</v>
      </c>
      <c r="K41" s="248">
        <v>-8.6303816514851093</v>
      </c>
      <c r="L41" s="248">
        <v>-9.2580457715931175</v>
      </c>
      <c r="M41" s="248">
        <v>-9.8857098917011257</v>
      </c>
      <c r="N41" s="248">
        <v>-9.8857098917011257</v>
      </c>
      <c r="O41" s="249">
        <v>-116.1178622199815</v>
      </c>
    </row>
    <row r="42" spans="1:15" ht="13" x14ac:dyDescent="0.3">
      <c r="A42" s="214"/>
      <c r="B42" s="92" t="s">
        <v>26</v>
      </c>
      <c r="C42" s="247">
        <v>-0.8102616717116623</v>
      </c>
      <c r="D42" s="248">
        <v>-0.8102616717116623</v>
      </c>
      <c r="E42" s="248">
        <v>-0.86170685721716478</v>
      </c>
      <c r="F42" s="248">
        <v>-0.79740037533528674</v>
      </c>
      <c r="G42" s="248">
        <v>-0.6559261151951552</v>
      </c>
      <c r="H42" s="248">
        <v>-0.86170685721716478</v>
      </c>
      <c r="I42" s="248">
        <v>-0.84884556084078922</v>
      </c>
      <c r="J42" s="248">
        <v>-0.78453907895891117</v>
      </c>
      <c r="K42" s="248">
        <v>-0.70737130070065768</v>
      </c>
      <c r="L42" s="248">
        <v>-0.75881648620616005</v>
      </c>
      <c r="M42" s="248">
        <v>-0.8102616717116623</v>
      </c>
      <c r="N42" s="248">
        <v>-0.8102616717116623</v>
      </c>
      <c r="O42" s="249">
        <v>-9.5173593185179399</v>
      </c>
    </row>
    <row r="43" spans="1:15" ht="13" x14ac:dyDescent="0.3">
      <c r="A43" s="214"/>
      <c r="B43" s="92" t="s">
        <v>27</v>
      </c>
      <c r="C43" s="247">
        <v>-10.695971563412789</v>
      </c>
      <c r="D43" s="248">
        <v>-10.695971563412789</v>
      </c>
      <c r="E43" s="248">
        <v>-11.375080869026313</v>
      </c>
      <c r="F43" s="248">
        <v>-10.52619423700942</v>
      </c>
      <c r="G43" s="248">
        <v>-8.6586436465722638</v>
      </c>
      <c r="H43" s="248">
        <v>-11.375080869026313</v>
      </c>
      <c r="I43" s="248">
        <v>-11.205303542622918</v>
      </c>
      <c r="J43" s="248">
        <v>-10.356416910606026</v>
      </c>
      <c r="K43" s="248">
        <v>-9.3377529521857667</v>
      </c>
      <c r="L43" s="248">
        <v>-10.016862257799277</v>
      </c>
      <c r="M43" s="248">
        <v>-10.695971563412789</v>
      </c>
      <c r="N43" s="248">
        <v>-10.695971563412789</v>
      </c>
      <c r="O43" s="249">
        <v>-125.63522153849944</v>
      </c>
    </row>
    <row r="44" spans="1:15" x14ac:dyDescent="0.25">
      <c r="A44" s="214"/>
      <c r="B44" s="92" t="s">
        <v>51</v>
      </c>
      <c r="C44" s="93">
        <v>86.397226771241421</v>
      </c>
      <c r="D44" s="94">
        <v>86.397226771241421</v>
      </c>
      <c r="E44" s="94">
        <v>91.882764978939292</v>
      </c>
      <c r="F44" s="94">
        <v>85.025842219316957</v>
      </c>
      <c r="G44" s="94">
        <v>69.940612148147821</v>
      </c>
      <c r="H44" s="94">
        <v>91.882764978939292</v>
      </c>
      <c r="I44" s="94">
        <v>90.511380427014814</v>
      </c>
      <c r="J44" s="94">
        <v>83.654457667392478</v>
      </c>
      <c r="K44" s="94">
        <v>75.426150355845678</v>
      </c>
      <c r="L44" s="94">
        <v>80.911688563543549</v>
      </c>
      <c r="M44" s="94">
        <v>86.397226771241421</v>
      </c>
      <c r="N44" s="94">
        <v>86.397226771241421</v>
      </c>
      <c r="O44" s="95">
        <v>1014.8245684241056</v>
      </c>
    </row>
    <row r="45" spans="1:15" x14ac:dyDescent="0.25">
      <c r="A45" s="214"/>
      <c r="B45" s="92" t="s">
        <v>89</v>
      </c>
      <c r="C45" s="93">
        <v>0</v>
      </c>
      <c r="D45" s="94">
        <v>0</v>
      </c>
      <c r="E45" s="94">
        <v>0</v>
      </c>
      <c r="F45" s="94">
        <v>0</v>
      </c>
      <c r="G45" s="94">
        <v>0</v>
      </c>
      <c r="H45" s="94">
        <v>0</v>
      </c>
      <c r="I45" s="94">
        <v>0</v>
      </c>
      <c r="J45" s="94">
        <v>0</v>
      </c>
      <c r="K45" s="94">
        <v>0</v>
      </c>
      <c r="L45" s="94">
        <v>0</v>
      </c>
      <c r="M45" s="94">
        <v>0</v>
      </c>
      <c r="N45" s="94">
        <v>0</v>
      </c>
      <c r="O45" s="95">
        <v>0</v>
      </c>
    </row>
    <row r="46" spans="1:15" x14ac:dyDescent="0.25">
      <c r="A46" s="214"/>
      <c r="B46" s="92" t="s">
        <v>91</v>
      </c>
      <c r="C46" s="93">
        <v>0</v>
      </c>
      <c r="D46" s="94">
        <v>0</v>
      </c>
      <c r="E46" s="94">
        <v>0</v>
      </c>
      <c r="F46" s="94">
        <v>0</v>
      </c>
      <c r="G46" s="94">
        <v>0</v>
      </c>
      <c r="H46" s="94">
        <v>0</v>
      </c>
      <c r="I46" s="94">
        <v>0</v>
      </c>
      <c r="J46" s="94">
        <v>0</v>
      </c>
      <c r="K46" s="94">
        <v>0</v>
      </c>
      <c r="L46" s="94">
        <v>0</v>
      </c>
      <c r="M46" s="94">
        <v>0</v>
      </c>
      <c r="N46" s="94">
        <v>0</v>
      </c>
      <c r="O46" s="95">
        <v>0</v>
      </c>
    </row>
    <row r="47" spans="1:15" x14ac:dyDescent="0.25">
      <c r="A47" s="82" t="s">
        <v>8</v>
      </c>
      <c r="B47" s="82" t="s">
        <v>72</v>
      </c>
      <c r="C47" s="89">
        <v>102.01535583938706</v>
      </c>
      <c r="D47" s="90">
        <v>100.80088731748958</v>
      </c>
      <c r="E47" s="90">
        <v>92.299607664207329</v>
      </c>
      <c r="F47" s="90">
        <v>83.798328010925076</v>
      </c>
      <c r="G47" s="90">
        <v>120.23238366784902</v>
      </c>
      <c r="H47" s="90">
        <v>180.95580976272228</v>
      </c>
      <c r="I47" s="90">
        <v>179.7413412408248</v>
      </c>
      <c r="J47" s="90">
        <v>194.31496350359438</v>
      </c>
      <c r="K47" s="90">
        <v>188.24262089410706</v>
      </c>
      <c r="L47" s="90">
        <v>133.59153740872114</v>
      </c>
      <c r="M47" s="90">
        <v>85.012796532822549</v>
      </c>
      <c r="N47" s="90">
        <v>80.154922445232685</v>
      </c>
      <c r="O47" s="91">
        <v>1541.1605542878831</v>
      </c>
    </row>
    <row r="48" spans="1:15" ht="13" x14ac:dyDescent="0.3">
      <c r="A48" s="214"/>
      <c r="B48" s="92" t="s">
        <v>25</v>
      </c>
      <c r="C48" s="247">
        <v>-13.180946522268172</v>
      </c>
      <c r="D48" s="248">
        <v>-13.024030492241181</v>
      </c>
      <c r="E48" s="248">
        <v>-11.925618282052156</v>
      </c>
      <c r="F48" s="248">
        <v>-10.827206071863145</v>
      </c>
      <c r="G48" s="248">
        <v>-15.534686972673214</v>
      </c>
      <c r="H48" s="248">
        <v>-23.380488474023281</v>
      </c>
      <c r="I48" s="248">
        <v>-23.223572443996318</v>
      </c>
      <c r="J48" s="248">
        <v>-25.106564804320328</v>
      </c>
      <c r="K48" s="248">
        <v>-24.321984654185314</v>
      </c>
      <c r="L48" s="248">
        <v>-17.260763302970219</v>
      </c>
      <c r="M48" s="248">
        <v>-10.984122101890136</v>
      </c>
      <c r="N48" s="248">
        <v>-10.356457981782128</v>
      </c>
      <c r="O48" s="249">
        <v>-199.12644210426561</v>
      </c>
    </row>
    <row r="49" spans="1:15" ht="13" x14ac:dyDescent="0.3">
      <c r="A49" s="214"/>
      <c r="B49" s="92" t="s">
        <v>26</v>
      </c>
      <c r="C49" s="247">
        <v>-1.0803488956155498</v>
      </c>
      <c r="D49" s="248">
        <v>-1.0674875992391741</v>
      </c>
      <c r="E49" s="248">
        <v>-0.97745852460454519</v>
      </c>
      <c r="F49" s="248">
        <v>-0.88742944996991591</v>
      </c>
      <c r="G49" s="248">
        <v>-1.2732683412611838</v>
      </c>
      <c r="H49" s="248">
        <v>-1.9163331600799633</v>
      </c>
      <c r="I49" s="248">
        <v>-1.9034718637035877</v>
      </c>
      <c r="J49" s="248">
        <v>-2.0578074202200951</v>
      </c>
      <c r="K49" s="248">
        <v>-1.993500938338217</v>
      </c>
      <c r="L49" s="248">
        <v>-1.4147426014013154</v>
      </c>
      <c r="M49" s="248">
        <v>-0.90029074634629158</v>
      </c>
      <c r="N49" s="248">
        <v>-0.84884556084078922</v>
      </c>
      <c r="O49" s="249">
        <v>-16.320985101620629</v>
      </c>
    </row>
    <row r="50" spans="1:15" ht="13" x14ac:dyDescent="0.3">
      <c r="A50" s="214"/>
      <c r="B50" s="92" t="s">
        <v>27</v>
      </c>
      <c r="C50" s="247">
        <v>-14.261295417883723</v>
      </c>
      <c r="D50" s="248">
        <v>-14.091518091480355</v>
      </c>
      <c r="E50" s="248">
        <v>-12.903076806656701</v>
      </c>
      <c r="F50" s="248">
        <v>-11.714635521833062</v>
      </c>
      <c r="G50" s="248">
        <v>-16.807955313934396</v>
      </c>
      <c r="H50" s="248">
        <v>-25.296821634103246</v>
      </c>
      <c r="I50" s="248">
        <v>-25.127044307699904</v>
      </c>
      <c r="J50" s="248">
        <v>-27.164372224540422</v>
      </c>
      <c r="K50" s="248">
        <v>-26.31548559252353</v>
      </c>
      <c r="L50" s="248">
        <v>-18.675505904371533</v>
      </c>
      <c r="M50" s="248">
        <v>-11.884412848236428</v>
      </c>
      <c r="N50" s="248">
        <v>-11.205303542622918</v>
      </c>
      <c r="O50" s="249">
        <v>-215.44742720588621</v>
      </c>
    </row>
    <row r="51" spans="1:15" x14ac:dyDescent="0.25">
      <c r="A51" s="214"/>
      <c r="B51" s="92" t="s">
        <v>51</v>
      </c>
      <c r="C51" s="93">
        <v>115.19630236165523</v>
      </c>
      <c r="D51" s="94">
        <v>113.82491780973076</v>
      </c>
      <c r="E51" s="94">
        <v>104.22522594625948</v>
      </c>
      <c r="F51" s="94">
        <v>94.625534082788221</v>
      </c>
      <c r="G51" s="94">
        <v>135.76707064052223</v>
      </c>
      <c r="H51" s="94">
        <v>204.33629823674556</v>
      </c>
      <c r="I51" s="94">
        <v>202.96491368482111</v>
      </c>
      <c r="J51" s="94">
        <v>219.42152830791471</v>
      </c>
      <c r="K51" s="94">
        <v>212.56460554829238</v>
      </c>
      <c r="L51" s="94">
        <v>150.85230071169136</v>
      </c>
      <c r="M51" s="94">
        <v>95.996918634712685</v>
      </c>
      <c r="N51" s="94">
        <v>90.511380427014814</v>
      </c>
      <c r="O51" s="95">
        <v>1740.2869963921487</v>
      </c>
    </row>
    <row r="52" spans="1:15" x14ac:dyDescent="0.25">
      <c r="A52" s="214"/>
      <c r="B52" s="92" t="s">
        <v>89</v>
      </c>
      <c r="C52" s="93">
        <v>0</v>
      </c>
      <c r="D52" s="94">
        <v>0</v>
      </c>
      <c r="E52" s="94">
        <v>0</v>
      </c>
      <c r="F52" s="94">
        <v>0</v>
      </c>
      <c r="G52" s="94">
        <v>0</v>
      </c>
      <c r="H52" s="94">
        <v>0</v>
      </c>
      <c r="I52" s="94">
        <v>0</v>
      </c>
      <c r="J52" s="94">
        <v>0</v>
      </c>
      <c r="K52" s="94">
        <v>0</v>
      </c>
      <c r="L52" s="94">
        <v>0</v>
      </c>
      <c r="M52" s="94">
        <v>0</v>
      </c>
      <c r="N52" s="94">
        <v>0</v>
      </c>
      <c r="O52" s="95">
        <v>0</v>
      </c>
    </row>
    <row r="53" spans="1:15" x14ac:dyDescent="0.25">
      <c r="A53" s="214"/>
      <c r="B53" s="92" t="s">
        <v>91</v>
      </c>
      <c r="C53" s="93">
        <v>0</v>
      </c>
      <c r="D53" s="94">
        <v>0</v>
      </c>
      <c r="E53" s="94">
        <v>0</v>
      </c>
      <c r="F53" s="94">
        <v>0</v>
      </c>
      <c r="G53" s="94">
        <v>0</v>
      </c>
      <c r="H53" s="94">
        <v>0</v>
      </c>
      <c r="I53" s="94">
        <v>0</v>
      </c>
      <c r="J53" s="94">
        <v>0</v>
      </c>
      <c r="K53" s="94">
        <v>0</v>
      </c>
      <c r="L53" s="94">
        <v>0</v>
      </c>
      <c r="M53" s="94">
        <v>0</v>
      </c>
      <c r="N53" s="94">
        <v>0</v>
      </c>
      <c r="O53" s="95">
        <v>0</v>
      </c>
    </row>
    <row r="54" spans="1:15" x14ac:dyDescent="0.25">
      <c r="A54" s="82" t="s">
        <v>21</v>
      </c>
      <c r="B54" s="82" t="s">
        <v>72</v>
      </c>
      <c r="C54" s="89">
        <v>3412.6565465318763</v>
      </c>
      <c r="D54" s="90">
        <v>3365.2922741778752</v>
      </c>
      <c r="E54" s="90">
        <v>2901.3652988130439</v>
      </c>
      <c r="F54" s="90">
        <v>2905.0087043787362</v>
      </c>
      <c r="G54" s="90">
        <v>3923.9477942507092</v>
      </c>
      <c r="H54" s="90">
        <v>4979.3209397796063</v>
      </c>
      <c r="I54" s="90">
        <v>4843.30046532709</v>
      </c>
      <c r="J54" s="90">
        <v>5179.708245892688</v>
      </c>
      <c r="K54" s="90">
        <v>4877.3055839402186</v>
      </c>
      <c r="L54" s="90">
        <v>3770.9247604916286</v>
      </c>
      <c r="M54" s="90">
        <v>3051.9593955283294</v>
      </c>
      <c r="N54" s="90">
        <v>3004.5951231743284</v>
      </c>
      <c r="O54" s="91">
        <v>46215.38513228613</v>
      </c>
    </row>
    <row r="55" spans="1:15" ht="13" x14ac:dyDescent="0.3">
      <c r="A55" s="214"/>
      <c r="B55" s="92" t="s">
        <v>25</v>
      </c>
      <c r="C55" s="247">
        <v>-440.93404437587606</v>
      </c>
      <c r="D55" s="248">
        <v>-434.81431920482282</v>
      </c>
      <c r="E55" s="248">
        <v>-374.87239573450779</v>
      </c>
      <c r="F55" s="248">
        <v>-375.34314382458888</v>
      </c>
      <c r="G55" s="248">
        <v>-506.99569301724387</v>
      </c>
      <c r="H55" s="248">
        <v>-643.35572311070791</v>
      </c>
      <c r="I55" s="248">
        <v>-625.78112774768397</v>
      </c>
      <c r="J55" s="248">
        <v>-669.24686806516365</v>
      </c>
      <c r="K55" s="248">
        <v>-630.17477658844109</v>
      </c>
      <c r="L55" s="248">
        <v>-487.22427323384136</v>
      </c>
      <c r="M55" s="248">
        <v>-394.32998345785609</v>
      </c>
      <c r="N55" s="248">
        <v>-388.21025828680285</v>
      </c>
      <c r="O55" s="249">
        <v>-5971.2826066475354</v>
      </c>
    </row>
    <row r="56" spans="1:15" ht="13" x14ac:dyDescent="0.3">
      <c r="A56" s="214"/>
      <c r="B56" s="92" t="s">
        <v>26</v>
      </c>
      <c r="C56" s="247">
        <v>-36.140242817615416</v>
      </c>
      <c r="D56" s="248">
        <v>-35.638652258936773</v>
      </c>
      <c r="E56" s="248">
        <v>-30.725637043161296</v>
      </c>
      <c r="F56" s="248">
        <v>-30.764220932290421</v>
      </c>
      <c r="G56" s="248">
        <v>-41.55484859206954</v>
      </c>
      <c r="H56" s="248">
        <v>-52.731315143139931</v>
      </c>
      <c r="I56" s="248">
        <v>-51.290849948985866</v>
      </c>
      <c r="J56" s="248">
        <v>-54.853429045241903</v>
      </c>
      <c r="K56" s="248">
        <v>-51.650966247524387</v>
      </c>
      <c r="L56" s="248">
        <v>-39.934325248646218</v>
      </c>
      <c r="M56" s="248">
        <v>-32.320437793831871</v>
      </c>
      <c r="N56" s="248">
        <v>-31.818847235153218</v>
      </c>
      <c r="O56" s="249">
        <v>-489.42377230659685</v>
      </c>
    </row>
    <row r="57" spans="1:15" ht="13" x14ac:dyDescent="0.3">
      <c r="A57" s="214"/>
      <c r="B57" s="92" t="s">
        <v>27</v>
      </c>
      <c r="C57" s="247">
        <v>-477.0742871934915</v>
      </c>
      <c r="D57" s="248">
        <v>-470.45297146375958</v>
      </c>
      <c r="E57" s="248">
        <v>-405.59803277766906</v>
      </c>
      <c r="F57" s="248">
        <v>-406.10736475687929</v>
      </c>
      <c r="G57" s="248">
        <v>-548.55054160931343</v>
      </c>
      <c r="H57" s="248">
        <v>-696.08703825384782</v>
      </c>
      <c r="I57" s="248">
        <v>-677.07197769666982</v>
      </c>
      <c r="J57" s="248">
        <v>-724.10029711040556</v>
      </c>
      <c r="K57" s="248">
        <v>-681.82574283596546</v>
      </c>
      <c r="L57" s="248">
        <v>-527.1585984824876</v>
      </c>
      <c r="M57" s="248">
        <v>-426.65042125168793</v>
      </c>
      <c r="N57" s="248">
        <v>-420.02910552195607</v>
      </c>
      <c r="O57" s="249">
        <v>-6460.7063789541326</v>
      </c>
    </row>
    <row r="58" spans="1:15" x14ac:dyDescent="0.25">
      <c r="A58" s="214"/>
      <c r="B58" s="92" t="s">
        <v>51</v>
      </c>
      <c r="C58" s="93">
        <v>3853.5905909077524</v>
      </c>
      <c r="D58" s="94">
        <v>3800.1065933826981</v>
      </c>
      <c r="E58" s="94">
        <v>3276.2376945475517</v>
      </c>
      <c r="F58" s="94">
        <v>3280.3518482033251</v>
      </c>
      <c r="G58" s="94">
        <v>4430.9434872679531</v>
      </c>
      <c r="H58" s="94">
        <v>5622.6766628903142</v>
      </c>
      <c r="I58" s="94">
        <v>5469.081593074774</v>
      </c>
      <c r="J58" s="94">
        <v>5848.9551139578516</v>
      </c>
      <c r="K58" s="94">
        <v>5507.4803605286597</v>
      </c>
      <c r="L58" s="94">
        <v>4258.14903372547</v>
      </c>
      <c r="M58" s="94">
        <v>3446.2893789861855</v>
      </c>
      <c r="N58" s="94">
        <v>3392.8053814611312</v>
      </c>
      <c r="O58" s="95">
        <v>52186.667738933669</v>
      </c>
    </row>
    <row r="59" spans="1:15" x14ac:dyDescent="0.25">
      <c r="A59" s="214"/>
      <c r="B59" s="92" t="s">
        <v>89</v>
      </c>
      <c r="C59" s="93">
        <v>0</v>
      </c>
      <c r="D59" s="94">
        <v>0</v>
      </c>
      <c r="E59" s="94">
        <v>0</v>
      </c>
      <c r="F59" s="94">
        <v>0</v>
      </c>
      <c r="G59" s="94">
        <v>0</v>
      </c>
      <c r="H59" s="94">
        <v>0</v>
      </c>
      <c r="I59" s="94">
        <v>0</v>
      </c>
      <c r="J59" s="94">
        <v>0</v>
      </c>
      <c r="K59" s="94">
        <v>0</v>
      </c>
      <c r="L59" s="94">
        <v>0</v>
      </c>
      <c r="M59" s="94">
        <v>0</v>
      </c>
      <c r="N59" s="94">
        <v>0</v>
      </c>
      <c r="O59" s="95">
        <v>0</v>
      </c>
    </row>
    <row r="60" spans="1:15" x14ac:dyDescent="0.25">
      <c r="A60" s="214"/>
      <c r="B60" s="92" t="s">
        <v>91</v>
      </c>
      <c r="C60" s="93">
        <v>0</v>
      </c>
      <c r="D60" s="94">
        <v>0</v>
      </c>
      <c r="E60" s="94">
        <v>0</v>
      </c>
      <c r="F60" s="94">
        <v>0</v>
      </c>
      <c r="G60" s="94">
        <v>0</v>
      </c>
      <c r="H60" s="94">
        <v>0</v>
      </c>
      <c r="I60" s="94">
        <v>0</v>
      </c>
      <c r="J60" s="94">
        <v>0</v>
      </c>
      <c r="K60" s="94">
        <v>0</v>
      </c>
      <c r="L60" s="94">
        <v>0</v>
      </c>
      <c r="M60" s="94">
        <v>0</v>
      </c>
      <c r="N60" s="94">
        <v>0</v>
      </c>
      <c r="O60" s="95">
        <v>0</v>
      </c>
    </row>
    <row r="61" spans="1:15" x14ac:dyDescent="0.25">
      <c r="A61" s="82" t="s">
        <v>22</v>
      </c>
      <c r="B61" s="82" t="s">
        <v>72</v>
      </c>
      <c r="C61" s="89">
        <v>3308.2122536486945</v>
      </c>
      <c r="D61" s="90">
        <v>3348.2897148713109</v>
      </c>
      <c r="E61" s="90">
        <v>3207.4113663312046</v>
      </c>
      <c r="F61" s="90">
        <v>2935.3704174261725</v>
      </c>
      <c r="G61" s="90">
        <v>3453.94847627639</v>
      </c>
      <c r="H61" s="90">
        <v>4250.639826641127</v>
      </c>
      <c r="I61" s="90">
        <v>4334.4381546520526</v>
      </c>
      <c r="J61" s="90">
        <v>4573.6884534658529</v>
      </c>
      <c r="K61" s="90">
        <v>4197.203211677639</v>
      </c>
      <c r="L61" s="90">
        <v>3412.6565465318763</v>
      </c>
      <c r="M61" s="90">
        <v>3034.9568362217647</v>
      </c>
      <c r="N61" s="90">
        <v>3075.0342974443811</v>
      </c>
      <c r="O61" s="91">
        <v>43131.84955518847</v>
      </c>
    </row>
    <row r="62" spans="1:15" ht="13" x14ac:dyDescent="0.3">
      <c r="A62" s="214"/>
      <c r="B62" s="92" t="s">
        <v>25</v>
      </c>
      <c r="C62" s="247">
        <v>-427.43926579355366</v>
      </c>
      <c r="D62" s="248">
        <v>-432.61749478444426</v>
      </c>
      <c r="E62" s="248">
        <v>-414.4152353013128</v>
      </c>
      <c r="F62" s="248">
        <v>-379.266044575264</v>
      </c>
      <c r="G62" s="248">
        <v>-446.26918939679399</v>
      </c>
      <c r="H62" s="248">
        <v>-549.20610509450762</v>
      </c>
      <c r="I62" s="248">
        <v>-560.03331116637037</v>
      </c>
      <c r="J62" s="248">
        <v>-590.94576908168983</v>
      </c>
      <c r="K62" s="248">
        <v>-542.30179977331863</v>
      </c>
      <c r="L62" s="248">
        <v>-440.93404437587606</v>
      </c>
      <c r="M62" s="248">
        <v>-392.13315903747844</v>
      </c>
      <c r="N62" s="248">
        <v>-397.31138802836904</v>
      </c>
      <c r="O62" s="249">
        <v>-5572.8728064089782</v>
      </c>
    </row>
    <row r="63" spans="1:15" ht="13" x14ac:dyDescent="0.3">
      <c r="A63" s="214"/>
      <c r="B63" s="92" t="s">
        <v>26</v>
      </c>
      <c r="C63" s="247">
        <v>-35.034171329247116</v>
      </c>
      <c r="D63" s="248">
        <v>-35.458594109667509</v>
      </c>
      <c r="E63" s="248">
        <v>-33.966683730007944</v>
      </c>
      <c r="F63" s="248">
        <v>-31.085753341699807</v>
      </c>
      <c r="G63" s="248">
        <v>-36.577526894412188</v>
      </c>
      <c r="H63" s="248">
        <v>-45.014537317314577</v>
      </c>
      <c r="I63" s="248">
        <v>-45.901966767284499</v>
      </c>
      <c r="J63" s="248">
        <v>-48.435642153430479</v>
      </c>
      <c r="K63" s="248">
        <v>-44.448640276754055</v>
      </c>
      <c r="L63" s="248">
        <v>-36.140242817615416</v>
      </c>
      <c r="M63" s="248">
        <v>-32.140379644562607</v>
      </c>
      <c r="N63" s="248">
        <v>-32.564802424983</v>
      </c>
      <c r="O63" s="249">
        <v>-456.76894080697912</v>
      </c>
    </row>
    <row r="64" spans="1:15" ht="13" x14ac:dyDescent="0.3">
      <c r="A64" s="214"/>
      <c r="B64" s="92" t="s">
        <v>27</v>
      </c>
      <c r="C64" s="247">
        <v>-462.47343712280076</v>
      </c>
      <c r="D64" s="248">
        <v>-468.07608889411176</v>
      </c>
      <c r="E64" s="248">
        <v>-448.38191903132076</v>
      </c>
      <c r="F64" s="248">
        <v>-410.35179791696379</v>
      </c>
      <c r="G64" s="248">
        <v>-482.84671629120618</v>
      </c>
      <c r="H64" s="248">
        <v>-594.22064241182215</v>
      </c>
      <c r="I64" s="248">
        <v>-605.9352779336549</v>
      </c>
      <c r="J64" s="248">
        <v>-639.38141123512037</v>
      </c>
      <c r="K64" s="248">
        <v>-586.75044005007271</v>
      </c>
      <c r="L64" s="248">
        <v>-477.0742871934915</v>
      </c>
      <c r="M64" s="248">
        <v>-424.27353868204102</v>
      </c>
      <c r="N64" s="248">
        <v>-429.87619045335202</v>
      </c>
      <c r="O64" s="249">
        <v>-6029.6417472159592</v>
      </c>
    </row>
    <row r="65" spans="1:15" x14ac:dyDescent="0.25">
      <c r="A65" s="214"/>
      <c r="B65" s="92" t="s">
        <v>51</v>
      </c>
      <c r="C65" s="93">
        <v>3735.6515194422482</v>
      </c>
      <c r="D65" s="94">
        <v>3780.9072096557552</v>
      </c>
      <c r="E65" s="94">
        <v>3621.8266016325174</v>
      </c>
      <c r="F65" s="94">
        <v>3314.6364620014365</v>
      </c>
      <c r="G65" s="94">
        <v>3900.217665673184</v>
      </c>
      <c r="H65" s="94">
        <v>4799.8459317356346</v>
      </c>
      <c r="I65" s="94">
        <v>4894.471465818423</v>
      </c>
      <c r="J65" s="94">
        <v>5164.6342225475428</v>
      </c>
      <c r="K65" s="94">
        <v>4739.5050114509577</v>
      </c>
      <c r="L65" s="94">
        <v>3853.5905909077524</v>
      </c>
      <c r="M65" s="94">
        <v>3427.0899952592431</v>
      </c>
      <c r="N65" s="94">
        <v>3472.3456854727501</v>
      </c>
      <c r="O65" s="95">
        <v>48704.722361597451</v>
      </c>
    </row>
    <row r="66" spans="1:15" x14ac:dyDescent="0.25">
      <c r="A66" s="214"/>
      <c r="B66" s="92" t="s">
        <v>89</v>
      </c>
      <c r="C66" s="93">
        <v>0</v>
      </c>
      <c r="D66" s="94">
        <v>0</v>
      </c>
      <c r="E66" s="94">
        <v>0</v>
      </c>
      <c r="F66" s="94">
        <v>0</v>
      </c>
      <c r="G66" s="94">
        <v>0</v>
      </c>
      <c r="H66" s="94">
        <v>0</v>
      </c>
      <c r="I66" s="94">
        <v>0</v>
      </c>
      <c r="J66" s="94">
        <v>0</v>
      </c>
      <c r="K66" s="94">
        <v>0</v>
      </c>
      <c r="L66" s="94">
        <v>0</v>
      </c>
      <c r="M66" s="94">
        <v>0</v>
      </c>
      <c r="N66" s="94">
        <v>0</v>
      </c>
      <c r="O66" s="95">
        <v>0</v>
      </c>
    </row>
    <row r="67" spans="1:15" x14ac:dyDescent="0.25">
      <c r="A67" s="214"/>
      <c r="B67" s="92" t="s">
        <v>91</v>
      </c>
      <c r="C67" s="93">
        <v>0</v>
      </c>
      <c r="D67" s="94">
        <v>0</v>
      </c>
      <c r="E67" s="94">
        <v>0</v>
      </c>
      <c r="F67" s="94">
        <v>0</v>
      </c>
      <c r="G67" s="94">
        <v>0</v>
      </c>
      <c r="H67" s="94">
        <v>0</v>
      </c>
      <c r="I67" s="94">
        <v>0</v>
      </c>
      <c r="J67" s="94">
        <v>0</v>
      </c>
      <c r="K67" s="94">
        <v>0</v>
      </c>
      <c r="L67" s="94">
        <v>0</v>
      </c>
      <c r="M67" s="94">
        <v>0</v>
      </c>
      <c r="N67" s="94">
        <v>0</v>
      </c>
      <c r="O67" s="95">
        <v>0</v>
      </c>
    </row>
    <row r="68" spans="1:15" x14ac:dyDescent="0.25">
      <c r="A68" s="82" t="s">
        <v>9</v>
      </c>
      <c r="B68" s="82" t="s">
        <v>72</v>
      </c>
      <c r="C68" s="89">
        <v>64.366831660565637</v>
      </c>
      <c r="D68" s="90">
        <v>66.795768704360569</v>
      </c>
      <c r="E68" s="90">
        <v>55.865552007283384</v>
      </c>
      <c r="F68" s="90">
        <v>40.077461222616343</v>
      </c>
      <c r="G68" s="90">
        <v>53.436614963488452</v>
      </c>
      <c r="H68" s="90">
        <v>66.795768704360569</v>
      </c>
      <c r="I68" s="90">
        <v>69.2247057481555</v>
      </c>
      <c r="J68" s="90">
        <v>68.010237226258027</v>
      </c>
      <c r="K68" s="90">
        <v>72.868111313847891</v>
      </c>
      <c r="L68" s="90">
        <v>58.294489051078315</v>
      </c>
      <c r="M68" s="90">
        <v>65.58130018246311</v>
      </c>
      <c r="N68" s="90">
        <v>66.795768704360569</v>
      </c>
      <c r="O68" s="91">
        <v>748.11260948883842</v>
      </c>
    </row>
    <row r="69" spans="1:15" ht="13" x14ac:dyDescent="0.3">
      <c r="A69" s="214"/>
      <c r="B69" s="92" t="s">
        <v>25</v>
      </c>
      <c r="C69" s="247">
        <v>-8.3165495914311123</v>
      </c>
      <c r="D69" s="248">
        <v>-8.6303816514851093</v>
      </c>
      <c r="E69" s="248">
        <v>-7.2181373812420944</v>
      </c>
      <c r="F69" s="248">
        <v>-5.1782289908910641</v>
      </c>
      <c r="G69" s="248">
        <v>-6.9043053211880903</v>
      </c>
      <c r="H69" s="248">
        <v>-8.6303816514851093</v>
      </c>
      <c r="I69" s="248">
        <v>-8.9442137115391205</v>
      </c>
      <c r="J69" s="248">
        <v>-8.7872976815121149</v>
      </c>
      <c r="K69" s="248">
        <v>-9.4149618016201231</v>
      </c>
      <c r="L69" s="248">
        <v>-7.5319694412960985</v>
      </c>
      <c r="M69" s="248">
        <v>-8.4734656214581037</v>
      </c>
      <c r="N69" s="248">
        <v>-8.6303816514851093</v>
      </c>
      <c r="O69" s="249">
        <v>-96.660274496633249</v>
      </c>
    </row>
    <row r="70" spans="1:15" ht="13" x14ac:dyDescent="0.3">
      <c r="A70" s="214"/>
      <c r="B70" s="92" t="s">
        <v>26</v>
      </c>
      <c r="C70" s="247">
        <v>-0.68164870794790655</v>
      </c>
      <c r="D70" s="248">
        <v>-0.70737130070065768</v>
      </c>
      <c r="E70" s="248">
        <v>-0.59161963331327727</v>
      </c>
      <c r="F70" s="248">
        <v>-0.42442278042039461</v>
      </c>
      <c r="G70" s="248">
        <v>-0.56589704056052614</v>
      </c>
      <c r="H70" s="248">
        <v>-0.70737130070065768</v>
      </c>
      <c r="I70" s="248">
        <v>-0.73309389345340881</v>
      </c>
      <c r="J70" s="248">
        <v>-0.72023259707703324</v>
      </c>
      <c r="K70" s="248">
        <v>-0.77167778258253561</v>
      </c>
      <c r="L70" s="248">
        <v>-0.61734222606602851</v>
      </c>
      <c r="M70" s="248">
        <v>-0.69451000432428212</v>
      </c>
      <c r="N70" s="248">
        <v>-0.70737130070065768</v>
      </c>
      <c r="O70" s="249">
        <v>-7.922558567847366</v>
      </c>
    </row>
    <row r="71" spans="1:15" ht="13" x14ac:dyDescent="0.3">
      <c r="A71" s="214"/>
      <c r="B71" s="92" t="s">
        <v>27</v>
      </c>
      <c r="C71" s="247">
        <v>-8.9981982993790197</v>
      </c>
      <c r="D71" s="248">
        <v>-9.3377529521857667</v>
      </c>
      <c r="E71" s="248">
        <v>-7.8097570145553714</v>
      </c>
      <c r="F71" s="248">
        <v>-5.602651771311459</v>
      </c>
      <c r="G71" s="248">
        <v>-7.4702023617486164</v>
      </c>
      <c r="H71" s="248">
        <v>-9.3377529521857667</v>
      </c>
      <c r="I71" s="248">
        <v>-9.6773076049925297</v>
      </c>
      <c r="J71" s="248">
        <v>-9.5075302785891473</v>
      </c>
      <c r="K71" s="248">
        <v>-10.186639584202659</v>
      </c>
      <c r="L71" s="248">
        <v>-8.1493116673621273</v>
      </c>
      <c r="M71" s="248">
        <v>-9.1679756257823861</v>
      </c>
      <c r="N71" s="248">
        <v>-9.3377529521857667</v>
      </c>
      <c r="O71" s="249">
        <v>-104.58283306448062</v>
      </c>
    </row>
    <row r="72" spans="1:15" x14ac:dyDescent="0.25">
      <c r="A72" s="214"/>
      <c r="B72" s="92" t="s">
        <v>51</v>
      </c>
      <c r="C72" s="93">
        <v>72.683381251996749</v>
      </c>
      <c r="D72" s="94">
        <v>75.426150355845678</v>
      </c>
      <c r="E72" s="94">
        <v>63.083689388525478</v>
      </c>
      <c r="F72" s="94">
        <v>45.255690213507407</v>
      </c>
      <c r="G72" s="94">
        <v>60.340920284676542</v>
      </c>
      <c r="H72" s="94">
        <v>75.426150355845678</v>
      </c>
      <c r="I72" s="94">
        <v>78.168919459694621</v>
      </c>
      <c r="J72" s="94">
        <v>76.797534907770142</v>
      </c>
      <c r="K72" s="94">
        <v>82.283073115468014</v>
      </c>
      <c r="L72" s="94">
        <v>65.826458492374414</v>
      </c>
      <c r="M72" s="94">
        <v>74.054765803921214</v>
      </c>
      <c r="N72" s="94">
        <v>75.426150355845678</v>
      </c>
      <c r="O72" s="95">
        <v>844.77288398547159</v>
      </c>
    </row>
    <row r="73" spans="1:15" x14ac:dyDescent="0.25">
      <c r="A73" s="214"/>
      <c r="B73" s="92" t="s">
        <v>89</v>
      </c>
      <c r="C73" s="93">
        <v>0</v>
      </c>
      <c r="D73" s="94">
        <v>0</v>
      </c>
      <c r="E73" s="94">
        <v>0</v>
      </c>
      <c r="F73" s="94">
        <v>0</v>
      </c>
      <c r="G73" s="94">
        <v>0</v>
      </c>
      <c r="H73" s="94">
        <v>0</v>
      </c>
      <c r="I73" s="94">
        <v>0</v>
      </c>
      <c r="J73" s="94">
        <v>0</v>
      </c>
      <c r="K73" s="94">
        <v>0</v>
      </c>
      <c r="L73" s="94">
        <v>0</v>
      </c>
      <c r="M73" s="94">
        <v>0</v>
      </c>
      <c r="N73" s="94">
        <v>0</v>
      </c>
      <c r="O73" s="95">
        <v>0</v>
      </c>
    </row>
    <row r="74" spans="1:15" x14ac:dyDescent="0.25">
      <c r="A74" s="214"/>
      <c r="B74" s="92" t="s">
        <v>91</v>
      </c>
      <c r="C74" s="93">
        <v>0</v>
      </c>
      <c r="D74" s="94">
        <v>0</v>
      </c>
      <c r="E74" s="94">
        <v>0</v>
      </c>
      <c r="F74" s="94">
        <v>0</v>
      </c>
      <c r="G74" s="94">
        <v>0</v>
      </c>
      <c r="H74" s="94">
        <v>0</v>
      </c>
      <c r="I74" s="94">
        <v>0</v>
      </c>
      <c r="J74" s="94">
        <v>0</v>
      </c>
      <c r="K74" s="94">
        <v>0</v>
      </c>
      <c r="L74" s="94">
        <v>0</v>
      </c>
      <c r="M74" s="94">
        <v>0</v>
      </c>
      <c r="N74" s="94">
        <v>0</v>
      </c>
      <c r="O74" s="95">
        <v>0</v>
      </c>
    </row>
    <row r="75" spans="1:15" x14ac:dyDescent="0.25">
      <c r="A75" s="82" t="s">
        <v>56</v>
      </c>
      <c r="B75" s="82" t="s">
        <v>72</v>
      </c>
      <c r="C75" s="89">
        <v>137.23494297441354</v>
      </c>
      <c r="D75" s="90">
        <v>131.16260036492622</v>
      </c>
      <c r="E75" s="90">
        <v>116.58897810215663</v>
      </c>
      <c r="F75" s="90">
        <v>110.51663549266931</v>
      </c>
      <c r="G75" s="90">
        <v>151.8085652371831</v>
      </c>
      <c r="H75" s="90">
        <v>202.81624315687665</v>
      </c>
      <c r="I75" s="90">
        <v>194.31496350359438</v>
      </c>
      <c r="J75" s="90">
        <v>219.81880246344116</v>
      </c>
      <c r="K75" s="90">
        <v>190.67155793790198</v>
      </c>
      <c r="L75" s="90">
        <v>143.30728558390086</v>
      </c>
      <c r="M75" s="90">
        <v>123.87578923354143</v>
      </c>
      <c r="N75" s="90">
        <v>120.23238366784902</v>
      </c>
      <c r="O75" s="91">
        <v>1842.3487477184544</v>
      </c>
    </row>
    <row r="76" spans="1:15" x14ac:dyDescent="0.25">
      <c r="A76" s="214"/>
      <c r="B76" s="92" t="s">
        <v>25</v>
      </c>
      <c r="C76" s="93">
        <v>-17.731511393051221</v>
      </c>
      <c r="D76" s="94">
        <v>-16.946931242916207</v>
      </c>
      <c r="E76" s="94">
        <v>-15.063938882592197</v>
      </c>
      <c r="F76" s="94">
        <v>-14.279358732457183</v>
      </c>
      <c r="G76" s="94">
        <v>-19.61450375337526</v>
      </c>
      <c r="H76" s="94">
        <v>-26.204977014509325</v>
      </c>
      <c r="I76" s="94">
        <v>-25.106564804320328</v>
      </c>
      <c r="J76" s="94">
        <v>-28.401801434887346</v>
      </c>
      <c r="K76" s="94">
        <v>-24.635816714239326</v>
      </c>
      <c r="L76" s="94">
        <v>-18.516091543186235</v>
      </c>
      <c r="M76" s="94">
        <v>-16.005435062754216</v>
      </c>
      <c r="N76" s="94">
        <v>-15.534686972673214</v>
      </c>
      <c r="O76" s="95">
        <v>-238.04161755096209</v>
      </c>
    </row>
    <row r="77" spans="1:15" x14ac:dyDescent="0.25">
      <c r="A77" s="214"/>
      <c r="B77" s="92" t="s">
        <v>26</v>
      </c>
      <c r="C77" s="93">
        <v>-1.4533264905304419</v>
      </c>
      <c r="D77" s="94">
        <v>-1.3890200086485642</v>
      </c>
      <c r="E77" s="94">
        <v>-1.234684452132057</v>
      </c>
      <c r="F77" s="94">
        <v>-1.1703779702501791</v>
      </c>
      <c r="G77" s="94">
        <v>-1.6076620470469491</v>
      </c>
      <c r="H77" s="94">
        <v>-2.1478364948547242</v>
      </c>
      <c r="I77" s="94">
        <v>-2.0578074202200951</v>
      </c>
      <c r="J77" s="94">
        <v>-2.3278946441239823</v>
      </c>
      <c r="K77" s="94">
        <v>-2.0192235310909683</v>
      </c>
      <c r="L77" s="94">
        <v>-1.5176329724123201</v>
      </c>
      <c r="M77" s="94">
        <v>-1.3118522303903104</v>
      </c>
      <c r="N77" s="94">
        <v>-1.2732683412611838</v>
      </c>
      <c r="O77" s="95">
        <v>-19.510586602961773</v>
      </c>
    </row>
    <row r="78" spans="1:15" x14ac:dyDescent="0.25">
      <c r="A78" s="214"/>
      <c r="B78" s="92" t="s">
        <v>27</v>
      </c>
      <c r="C78" s="93">
        <v>-19.184837883581665</v>
      </c>
      <c r="D78" s="94">
        <v>-18.335951251564772</v>
      </c>
      <c r="E78" s="94">
        <v>-16.298623334724255</v>
      </c>
      <c r="F78" s="94">
        <v>-15.449736702707362</v>
      </c>
      <c r="G78" s="94">
        <v>-21.222165800422211</v>
      </c>
      <c r="H78" s="94">
        <v>-28.352813509364047</v>
      </c>
      <c r="I78" s="94">
        <v>-27.164372224540422</v>
      </c>
      <c r="J78" s="94">
        <v>-30.72969607901133</v>
      </c>
      <c r="K78" s="94">
        <v>-26.655040245330294</v>
      </c>
      <c r="L78" s="94">
        <v>-20.033724515598553</v>
      </c>
      <c r="M78" s="94">
        <v>-17.317287293144528</v>
      </c>
      <c r="N78" s="94">
        <v>-16.807955313934396</v>
      </c>
      <c r="O78" s="95">
        <v>-257.55220415392381</v>
      </c>
    </row>
    <row r="79" spans="1:15" x14ac:dyDescent="0.25">
      <c r="A79" s="214"/>
      <c r="B79" s="92" t="s">
        <v>51</v>
      </c>
      <c r="C79" s="93">
        <v>154.96645436746476</v>
      </c>
      <c r="D79" s="94">
        <v>148.10953160784243</v>
      </c>
      <c r="E79" s="94">
        <v>131.65291698474883</v>
      </c>
      <c r="F79" s="94">
        <v>124.79599422512649</v>
      </c>
      <c r="G79" s="94">
        <v>171.42306899055836</v>
      </c>
      <c r="H79" s="94">
        <v>229.02122017138598</v>
      </c>
      <c r="I79" s="94">
        <v>219.42152830791471</v>
      </c>
      <c r="J79" s="94">
        <v>248.22060389832851</v>
      </c>
      <c r="K79" s="94">
        <v>215.30737465214131</v>
      </c>
      <c r="L79" s="94">
        <v>161.8233771270871</v>
      </c>
      <c r="M79" s="94">
        <v>139.88122429629564</v>
      </c>
      <c r="N79" s="94">
        <v>135.76707064052223</v>
      </c>
      <c r="O79" s="95">
        <v>2080.3903652694162</v>
      </c>
    </row>
    <row r="80" spans="1:15" x14ac:dyDescent="0.25">
      <c r="A80" s="214"/>
      <c r="B80" s="92" t="s">
        <v>89</v>
      </c>
      <c r="C80" s="93">
        <v>0</v>
      </c>
      <c r="D80" s="94">
        <v>0</v>
      </c>
      <c r="E80" s="94">
        <v>0</v>
      </c>
      <c r="F80" s="94">
        <v>0</v>
      </c>
      <c r="G80" s="94">
        <v>0</v>
      </c>
      <c r="H80" s="94">
        <v>0</v>
      </c>
      <c r="I80" s="94">
        <v>0</v>
      </c>
      <c r="J80" s="94">
        <v>0</v>
      </c>
      <c r="K80" s="94">
        <v>0</v>
      </c>
      <c r="L80" s="94">
        <v>0</v>
      </c>
      <c r="M80" s="94">
        <v>0</v>
      </c>
      <c r="N80" s="94">
        <v>0</v>
      </c>
      <c r="O80" s="95">
        <v>0</v>
      </c>
    </row>
    <row r="81" spans="1:15" x14ac:dyDescent="0.25">
      <c r="A81" s="214"/>
      <c r="B81" s="92" t="s">
        <v>91</v>
      </c>
      <c r="C81" s="93">
        <v>0</v>
      </c>
      <c r="D81" s="94">
        <v>0</v>
      </c>
      <c r="E81" s="94">
        <v>0</v>
      </c>
      <c r="F81" s="94">
        <v>0</v>
      </c>
      <c r="G81" s="94">
        <v>0</v>
      </c>
      <c r="H81" s="94">
        <v>0</v>
      </c>
      <c r="I81" s="94">
        <v>0</v>
      </c>
      <c r="J81" s="94">
        <v>0</v>
      </c>
      <c r="K81" s="94">
        <v>0</v>
      </c>
      <c r="L81" s="94">
        <v>0</v>
      </c>
      <c r="M81" s="94">
        <v>0</v>
      </c>
      <c r="N81" s="94">
        <v>0</v>
      </c>
      <c r="O81" s="95">
        <v>0</v>
      </c>
    </row>
    <row r="82" spans="1:15" x14ac:dyDescent="0.25">
      <c r="A82" s="82" t="s">
        <v>57</v>
      </c>
      <c r="B82" s="82" t="s">
        <v>72</v>
      </c>
      <c r="C82" s="89">
        <v>8.5012796532822534</v>
      </c>
      <c r="D82" s="90">
        <v>12.144685218974649</v>
      </c>
      <c r="E82" s="90">
        <v>9.7157481751797192</v>
      </c>
      <c r="F82" s="90">
        <v>9.7157481751797192</v>
      </c>
      <c r="G82" s="90">
        <v>12.144685218974649</v>
      </c>
      <c r="H82" s="90">
        <v>14.573622262769579</v>
      </c>
      <c r="I82" s="90">
        <v>17.002559306564507</v>
      </c>
      <c r="J82" s="90">
        <v>15.788090784667045</v>
      </c>
      <c r="K82" s="90">
        <v>15.788090784667045</v>
      </c>
      <c r="L82" s="90">
        <v>13.359153740872113</v>
      </c>
      <c r="M82" s="90">
        <v>8.5012796532822534</v>
      </c>
      <c r="N82" s="90">
        <v>9.7157481751797192</v>
      </c>
      <c r="O82" s="91">
        <v>146.95069114959324</v>
      </c>
    </row>
    <row r="83" spans="1:15" x14ac:dyDescent="0.25">
      <c r="A83" s="214"/>
      <c r="B83" s="92" t="s">
        <v>25</v>
      </c>
      <c r="C83" s="93">
        <v>-1.0984122101890144</v>
      </c>
      <c r="D83" s="94">
        <v>-1.5691603002700205</v>
      </c>
      <c r="E83" s="94">
        <v>-1.2553282402160164</v>
      </c>
      <c r="F83" s="94">
        <v>-1.2553282402160164</v>
      </c>
      <c r="G83" s="94">
        <v>-1.5691603002700205</v>
      </c>
      <c r="H83" s="94">
        <v>-1.8829923603240246</v>
      </c>
      <c r="I83" s="94">
        <v>-2.1968244203780287</v>
      </c>
      <c r="J83" s="94">
        <v>-2.0399083903510267</v>
      </c>
      <c r="K83" s="94">
        <v>-2.0399083903510267</v>
      </c>
      <c r="L83" s="94">
        <v>-1.7260763302970226</v>
      </c>
      <c r="M83" s="94">
        <v>-1.0984122101890144</v>
      </c>
      <c r="N83" s="94">
        <v>-1.2553282402160164</v>
      </c>
      <c r="O83" s="95">
        <v>-18.986839633267248</v>
      </c>
    </row>
    <row r="84" spans="1:15" x14ac:dyDescent="0.25">
      <c r="A84" s="214"/>
      <c r="B84" s="92" t="s">
        <v>26</v>
      </c>
      <c r="C84" s="93">
        <v>-9.0029074634629155E-2</v>
      </c>
      <c r="D84" s="94">
        <v>-0.12861296376375594</v>
      </c>
      <c r="E84" s="94">
        <v>-0.10289037101100473</v>
      </c>
      <c r="F84" s="94">
        <v>-0.10289037101100473</v>
      </c>
      <c r="G84" s="94">
        <v>-0.12861296376375594</v>
      </c>
      <c r="H84" s="94">
        <v>-0.15433555651650713</v>
      </c>
      <c r="I84" s="94">
        <v>-0.18005814926925831</v>
      </c>
      <c r="J84" s="94">
        <v>-0.16719685289288269</v>
      </c>
      <c r="K84" s="94">
        <v>-0.16719685289288269</v>
      </c>
      <c r="L84" s="94">
        <v>-0.14147426014013154</v>
      </c>
      <c r="M84" s="94">
        <v>-9.0029074634629155E-2</v>
      </c>
      <c r="N84" s="94">
        <v>-0.10289037101100473</v>
      </c>
      <c r="O84" s="95">
        <v>-1.5562168615414467</v>
      </c>
    </row>
    <row r="85" spans="1:15" x14ac:dyDescent="0.25">
      <c r="A85" s="214"/>
      <c r="B85" s="92" t="s">
        <v>27</v>
      </c>
      <c r="C85" s="93">
        <v>-1.1884412848236434</v>
      </c>
      <c r="D85" s="94">
        <v>-1.6977732640337764</v>
      </c>
      <c r="E85" s="94">
        <v>-1.3582186112270211</v>
      </c>
      <c r="F85" s="94">
        <v>-1.3582186112270211</v>
      </c>
      <c r="G85" s="94">
        <v>-1.6977732640337764</v>
      </c>
      <c r="H85" s="94">
        <v>-2.0373279168405318</v>
      </c>
      <c r="I85" s="94">
        <v>-2.3768825696472868</v>
      </c>
      <c r="J85" s="94">
        <v>-2.2071052432439093</v>
      </c>
      <c r="K85" s="94">
        <v>-2.2071052432439093</v>
      </c>
      <c r="L85" s="94">
        <v>-1.8675505904371541</v>
      </c>
      <c r="M85" s="94">
        <v>-1.1884412848236434</v>
      </c>
      <c r="N85" s="94">
        <v>-1.3582186112270211</v>
      </c>
      <c r="O85" s="95">
        <v>-20.543056494808692</v>
      </c>
    </row>
    <row r="86" spans="1:15" x14ac:dyDescent="0.25">
      <c r="A86" s="214"/>
      <c r="B86" s="92" t="s">
        <v>51</v>
      </c>
      <c r="C86" s="93">
        <v>9.5996918634712678</v>
      </c>
      <c r="D86" s="94">
        <v>13.71384551924467</v>
      </c>
      <c r="E86" s="94">
        <v>10.971076415395736</v>
      </c>
      <c r="F86" s="94">
        <v>10.971076415395736</v>
      </c>
      <c r="G86" s="94">
        <v>13.71384551924467</v>
      </c>
      <c r="H86" s="94">
        <v>16.456614623093603</v>
      </c>
      <c r="I86" s="94">
        <v>19.199383726942536</v>
      </c>
      <c r="J86" s="94">
        <v>17.827999175018071</v>
      </c>
      <c r="K86" s="94">
        <v>17.827999175018071</v>
      </c>
      <c r="L86" s="94">
        <v>15.085230071169136</v>
      </c>
      <c r="M86" s="94">
        <v>9.5996918634712678</v>
      </c>
      <c r="N86" s="94">
        <v>10.971076415395736</v>
      </c>
      <c r="O86" s="95">
        <v>165.93753078286053</v>
      </c>
    </row>
    <row r="87" spans="1:15" x14ac:dyDescent="0.25">
      <c r="A87" s="214"/>
      <c r="B87" s="92" t="s">
        <v>89</v>
      </c>
      <c r="C87" s="93">
        <v>0</v>
      </c>
      <c r="D87" s="94">
        <v>0</v>
      </c>
      <c r="E87" s="94">
        <v>0</v>
      </c>
      <c r="F87" s="94">
        <v>0</v>
      </c>
      <c r="G87" s="94">
        <v>0</v>
      </c>
      <c r="H87" s="94">
        <v>0</v>
      </c>
      <c r="I87" s="94">
        <v>0</v>
      </c>
      <c r="J87" s="94">
        <v>0</v>
      </c>
      <c r="K87" s="94">
        <v>0</v>
      </c>
      <c r="L87" s="94">
        <v>0</v>
      </c>
      <c r="M87" s="94">
        <v>0</v>
      </c>
      <c r="N87" s="94">
        <v>0</v>
      </c>
      <c r="O87" s="95">
        <v>0</v>
      </c>
    </row>
    <row r="88" spans="1:15" x14ac:dyDescent="0.25">
      <c r="A88" s="214"/>
      <c r="B88" s="92" t="s">
        <v>91</v>
      </c>
      <c r="C88" s="93">
        <v>0</v>
      </c>
      <c r="D88" s="94">
        <v>0</v>
      </c>
      <c r="E88" s="94">
        <v>0</v>
      </c>
      <c r="F88" s="94">
        <v>0</v>
      </c>
      <c r="G88" s="94">
        <v>0</v>
      </c>
      <c r="H88" s="94">
        <v>0</v>
      </c>
      <c r="I88" s="94">
        <v>0</v>
      </c>
      <c r="J88" s="94">
        <v>0</v>
      </c>
      <c r="K88" s="94">
        <v>0</v>
      </c>
      <c r="L88" s="94">
        <v>0</v>
      </c>
      <c r="M88" s="94">
        <v>0</v>
      </c>
      <c r="N88" s="94">
        <v>0</v>
      </c>
      <c r="O88" s="95">
        <v>0</v>
      </c>
    </row>
    <row r="89" spans="1:15" x14ac:dyDescent="0.25">
      <c r="A89" s="82" t="s">
        <v>58</v>
      </c>
      <c r="B89" s="82" t="s">
        <v>72</v>
      </c>
      <c r="C89" s="89">
        <v>25.503838959846764</v>
      </c>
      <c r="D89" s="90">
        <v>25.503838959846764</v>
      </c>
      <c r="E89" s="90">
        <v>23.074901916051832</v>
      </c>
      <c r="F89" s="90">
        <v>25.503838959846764</v>
      </c>
      <c r="G89" s="90">
        <v>34.005118613129014</v>
      </c>
      <c r="H89" s="90">
        <v>44.935335310206199</v>
      </c>
      <c r="I89" s="90">
        <v>46.149803832103665</v>
      </c>
      <c r="J89" s="90">
        <v>48.578740875898596</v>
      </c>
      <c r="K89" s="90">
        <v>44.935335310206199</v>
      </c>
      <c r="L89" s="90">
        <v>36.434055656923945</v>
      </c>
      <c r="M89" s="90">
        <v>23.074901916051832</v>
      </c>
      <c r="N89" s="90">
        <v>24.289370437949298</v>
      </c>
      <c r="O89" s="91">
        <v>401.98908074806081</v>
      </c>
    </row>
    <row r="90" spans="1:15" x14ac:dyDescent="0.25">
      <c r="A90" s="214"/>
      <c r="B90" s="92" t="s">
        <v>25</v>
      </c>
      <c r="C90" s="93">
        <v>-3.2952366305670431</v>
      </c>
      <c r="D90" s="94">
        <v>-3.2952366305670431</v>
      </c>
      <c r="E90" s="94">
        <v>-2.981404570513039</v>
      </c>
      <c r="F90" s="94">
        <v>-3.2952366305670431</v>
      </c>
      <c r="G90" s="94">
        <v>-4.3936488407560574</v>
      </c>
      <c r="H90" s="94">
        <v>-5.8058931109990795</v>
      </c>
      <c r="I90" s="94">
        <v>-5.962809141026078</v>
      </c>
      <c r="J90" s="94">
        <v>-6.2766412010800821</v>
      </c>
      <c r="K90" s="94">
        <v>-5.8058931109990795</v>
      </c>
      <c r="L90" s="94">
        <v>-4.7074809008100615</v>
      </c>
      <c r="M90" s="94">
        <v>-2.981404570513039</v>
      </c>
      <c r="N90" s="94">
        <v>-3.138320600540041</v>
      </c>
      <c r="O90" s="95">
        <v>-51.93920593893769</v>
      </c>
    </row>
    <row r="91" spans="1:15" x14ac:dyDescent="0.25">
      <c r="A91" s="214"/>
      <c r="B91" s="92" t="s">
        <v>26</v>
      </c>
      <c r="C91" s="93">
        <v>-0.27008722390388745</v>
      </c>
      <c r="D91" s="94">
        <v>-0.27008722390388745</v>
      </c>
      <c r="E91" s="94">
        <v>-0.2443646311511363</v>
      </c>
      <c r="F91" s="94">
        <v>-0.27008722390388745</v>
      </c>
      <c r="G91" s="94">
        <v>-0.36011629853851662</v>
      </c>
      <c r="H91" s="94">
        <v>-0.47586796592589692</v>
      </c>
      <c r="I91" s="94">
        <v>-0.48872926230227259</v>
      </c>
      <c r="J91" s="94">
        <v>-0.51445185505502378</v>
      </c>
      <c r="K91" s="94">
        <v>-0.47586796592589692</v>
      </c>
      <c r="L91" s="94">
        <v>-0.3858388912912678</v>
      </c>
      <c r="M91" s="94">
        <v>-0.2443646311511363</v>
      </c>
      <c r="N91" s="94">
        <v>-0.25722592752751189</v>
      </c>
      <c r="O91" s="95">
        <v>-4.2570891005803224</v>
      </c>
    </row>
    <row r="92" spans="1:15" x14ac:dyDescent="0.25">
      <c r="A92" s="214"/>
      <c r="B92" s="92" t="s">
        <v>27</v>
      </c>
      <c r="C92" s="93">
        <v>-3.5653238544709307</v>
      </c>
      <c r="D92" s="94">
        <v>-3.5653238544709307</v>
      </c>
      <c r="E92" s="94">
        <v>-3.2257692016641752</v>
      </c>
      <c r="F92" s="94">
        <v>-3.5653238544709307</v>
      </c>
      <c r="G92" s="94">
        <v>-4.7537651392945737</v>
      </c>
      <c r="H92" s="94">
        <v>-6.2817610769249761</v>
      </c>
      <c r="I92" s="94">
        <v>-6.4515384033283505</v>
      </c>
      <c r="J92" s="94">
        <v>-6.7910930561351055</v>
      </c>
      <c r="K92" s="94">
        <v>-6.2817610769249761</v>
      </c>
      <c r="L92" s="94">
        <v>-5.0933197921013296</v>
      </c>
      <c r="M92" s="94">
        <v>-3.2257692016641752</v>
      </c>
      <c r="N92" s="94">
        <v>-3.3955465280675527</v>
      </c>
      <c r="O92" s="95">
        <v>-56.196295039518006</v>
      </c>
    </row>
    <row r="93" spans="1:15" x14ac:dyDescent="0.25">
      <c r="A93" s="214"/>
      <c r="B93" s="92" t="s">
        <v>51</v>
      </c>
      <c r="C93" s="93">
        <v>28.799075590413807</v>
      </c>
      <c r="D93" s="94">
        <v>28.799075590413807</v>
      </c>
      <c r="E93" s="94">
        <v>26.056306486564871</v>
      </c>
      <c r="F93" s="94">
        <v>28.799075590413807</v>
      </c>
      <c r="G93" s="94">
        <v>38.398767453885071</v>
      </c>
      <c r="H93" s="94">
        <v>50.741228421205278</v>
      </c>
      <c r="I93" s="94">
        <v>52.112612973129742</v>
      </c>
      <c r="J93" s="94">
        <v>54.855382076978678</v>
      </c>
      <c r="K93" s="94">
        <v>50.741228421205278</v>
      </c>
      <c r="L93" s="94">
        <v>41.141536557734007</v>
      </c>
      <c r="M93" s="94">
        <v>26.056306486564871</v>
      </c>
      <c r="N93" s="94">
        <v>27.427691038489339</v>
      </c>
      <c r="O93" s="95">
        <v>453.9282866869986</v>
      </c>
    </row>
    <row r="94" spans="1:15" x14ac:dyDescent="0.25">
      <c r="A94" s="214"/>
      <c r="B94" s="92" t="s">
        <v>89</v>
      </c>
      <c r="C94" s="93">
        <v>0</v>
      </c>
      <c r="D94" s="94">
        <v>0</v>
      </c>
      <c r="E94" s="94">
        <v>0</v>
      </c>
      <c r="F94" s="94">
        <v>0</v>
      </c>
      <c r="G94" s="94">
        <v>0</v>
      </c>
      <c r="H94" s="94">
        <v>0</v>
      </c>
      <c r="I94" s="94">
        <v>0</v>
      </c>
      <c r="J94" s="94">
        <v>0</v>
      </c>
      <c r="K94" s="94">
        <v>0</v>
      </c>
      <c r="L94" s="94">
        <v>0</v>
      </c>
      <c r="M94" s="94">
        <v>0</v>
      </c>
      <c r="N94" s="94">
        <v>0</v>
      </c>
      <c r="O94" s="95">
        <v>0</v>
      </c>
    </row>
    <row r="95" spans="1:15" x14ac:dyDescent="0.25">
      <c r="A95" s="214"/>
      <c r="B95" s="92" t="s">
        <v>91</v>
      </c>
      <c r="C95" s="93">
        <v>0</v>
      </c>
      <c r="D95" s="94">
        <v>0</v>
      </c>
      <c r="E95" s="94">
        <v>0</v>
      </c>
      <c r="F95" s="94">
        <v>0</v>
      </c>
      <c r="G95" s="94">
        <v>0</v>
      </c>
      <c r="H95" s="94">
        <v>0</v>
      </c>
      <c r="I95" s="94">
        <v>0</v>
      </c>
      <c r="J95" s="94">
        <v>0</v>
      </c>
      <c r="K95" s="94">
        <v>0</v>
      </c>
      <c r="L95" s="94">
        <v>0</v>
      </c>
      <c r="M95" s="94">
        <v>0</v>
      </c>
      <c r="N95" s="94">
        <v>0</v>
      </c>
      <c r="O95" s="95">
        <v>0</v>
      </c>
    </row>
    <row r="96" spans="1:15" x14ac:dyDescent="0.25">
      <c r="A96" s="82" t="s">
        <v>59</v>
      </c>
      <c r="B96" s="82" t="s">
        <v>72</v>
      </c>
      <c r="C96" s="89">
        <v>43.72086678830874</v>
      </c>
      <c r="D96" s="90">
        <v>38.862992700718877</v>
      </c>
      <c r="E96" s="90">
        <v>38.862992700718877</v>
      </c>
      <c r="F96" s="90">
        <v>37.648524178821411</v>
      </c>
      <c r="G96" s="90">
        <v>46.149803832103665</v>
      </c>
      <c r="H96" s="90">
        <v>58.294489051078315</v>
      </c>
      <c r="I96" s="90">
        <v>59.508957572975781</v>
      </c>
      <c r="J96" s="90">
        <v>60.723426094873247</v>
      </c>
      <c r="K96" s="90">
        <v>57.08002052918085</v>
      </c>
      <c r="L96" s="90">
        <v>43.72086678830874</v>
      </c>
      <c r="M96" s="90">
        <v>31.576181569334089</v>
      </c>
      <c r="N96" s="90">
        <v>37.648524178821411</v>
      </c>
      <c r="O96" s="91">
        <v>553.79764598524389</v>
      </c>
    </row>
    <row r="97" spans="1:15" x14ac:dyDescent="0.25">
      <c r="A97" s="214"/>
      <c r="B97" s="92" t="s">
        <v>25</v>
      </c>
      <c r="C97" s="93">
        <v>-5.6489770809720738</v>
      </c>
      <c r="D97" s="94">
        <v>-5.0213129608640656</v>
      </c>
      <c r="E97" s="94">
        <v>-5.0213129608640656</v>
      </c>
      <c r="F97" s="94">
        <v>-4.8643969308370671</v>
      </c>
      <c r="G97" s="94">
        <v>-5.962809141026078</v>
      </c>
      <c r="H97" s="94">
        <v>-7.5319694412960985</v>
      </c>
      <c r="I97" s="94">
        <v>-7.688885471323097</v>
      </c>
      <c r="J97" s="94">
        <v>-7.8458015013500955</v>
      </c>
      <c r="K97" s="94">
        <v>-7.3750534112691</v>
      </c>
      <c r="L97" s="94">
        <v>-5.6489770809720738</v>
      </c>
      <c r="M97" s="94">
        <v>-4.0798167807020533</v>
      </c>
      <c r="N97" s="94">
        <v>-4.8643969308370671</v>
      </c>
      <c r="O97" s="95">
        <v>-71.553709692312935</v>
      </c>
    </row>
    <row r="98" spans="1:15" x14ac:dyDescent="0.25">
      <c r="A98" s="214"/>
      <c r="B98" s="92" t="s">
        <v>26</v>
      </c>
      <c r="C98" s="93">
        <v>-0.46300666954952135</v>
      </c>
      <c r="D98" s="94">
        <v>-0.41156148404401893</v>
      </c>
      <c r="E98" s="94">
        <v>-0.41156148404401893</v>
      </c>
      <c r="F98" s="94">
        <v>-0.39870018766764337</v>
      </c>
      <c r="G98" s="94">
        <v>-0.48872926230227259</v>
      </c>
      <c r="H98" s="94">
        <v>-0.61734222606602851</v>
      </c>
      <c r="I98" s="94">
        <v>-0.63020352244240407</v>
      </c>
      <c r="J98" s="94">
        <v>-0.64306481881877964</v>
      </c>
      <c r="K98" s="94">
        <v>-0.60448092968965284</v>
      </c>
      <c r="L98" s="94">
        <v>-0.46300666954952135</v>
      </c>
      <c r="M98" s="94">
        <v>-0.33439370578576538</v>
      </c>
      <c r="N98" s="94">
        <v>-0.39870018766764337</v>
      </c>
      <c r="O98" s="95">
        <v>-5.8647511476272705</v>
      </c>
    </row>
    <row r="99" spans="1:15" x14ac:dyDescent="0.25">
      <c r="A99" s="214"/>
      <c r="B99" s="92" t="s">
        <v>27</v>
      </c>
      <c r="C99" s="93">
        <v>-6.1119837505215955</v>
      </c>
      <c r="D99" s="94">
        <v>-5.4328744449080846</v>
      </c>
      <c r="E99" s="94">
        <v>-5.4328744449080846</v>
      </c>
      <c r="F99" s="94">
        <v>-5.2630971185047102</v>
      </c>
      <c r="G99" s="94">
        <v>-6.4515384033283505</v>
      </c>
      <c r="H99" s="94">
        <v>-8.1493116673621273</v>
      </c>
      <c r="I99" s="94">
        <v>-8.3190889937655008</v>
      </c>
      <c r="J99" s="94">
        <v>-8.4888663201688743</v>
      </c>
      <c r="K99" s="94">
        <v>-7.9795343409587529</v>
      </c>
      <c r="L99" s="94">
        <v>-6.1119837505215955</v>
      </c>
      <c r="M99" s="94">
        <v>-4.4142104864878187</v>
      </c>
      <c r="N99" s="94">
        <v>-5.2630971185047102</v>
      </c>
      <c r="O99" s="95">
        <v>-77.418460839940195</v>
      </c>
    </row>
    <row r="100" spans="1:15" x14ac:dyDescent="0.25">
      <c r="A100" s="214"/>
      <c r="B100" s="92" t="s">
        <v>51</v>
      </c>
      <c r="C100" s="93">
        <v>49.369843869280814</v>
      </c>
      <c r="D100" s="94">
        <v>43.884305661582943</v>
      </c>
      <c r="E100" s="94">
        <v>43.884305661582943</v>
      </c>
      <c r="F100" s="94">
        <v>42.512921109658478</v>
      </c>
      <c r="G100" s="94">
        <v>52.112612973129742</v>
      </c>
      <c r="H100" s="94">
        <v>65.826458492374414</v>
      </c>
      <c r="I100" s="94">
        <v>67.197843044298878</v>
      </c>
      <c r="J100" s="94">
        <v>68.569227596223342</v>
      </c>
      <c r="K100" s="94">
        <v>64.45507394044995</v>
      </c>
      <c r="L100" s="94">
        <v>49.369843869280814</v>
      </c>
      <c r="M100" s="94">
        <v>35.655998350036143</v>
      </c>
      <c r="N100" s="94">
        <v>42.512921109658478</v>
      </c>
      <c r="O100" s="95">
        <v>625.35135567755685</v>
      </c>
    </row>
    <row r="101" spans="1:15" x14ac:dyDescent="0.25">
      <c r="A101" s="214"/>
      <c r="B101" s="92" t="s">
        <v>89</v>
      </c>
      <c r="C101" s="93">
        <v>0</v>
      </c>
      <c r="D101" s="94">
        <v>0</v>
      </c>
      <c r="E101" s="94">
        <v>0</v>
      </c>
      <c r="F101" s="94">
        <v>0</v>
      </c>
      <c r="G101" s="94">
        <v>0</v>
      </c>
      <c r="H101" s="94">
        <v>0</v>
      </c>
      <c r="I101" s="94">
        <v>0</v>
      </c>
      <c r="J101" s="94">
        <v>0</v>
      </c>
      <c r="K101" s="94">
        <v>0</v>
      </c>
      <c r="L101" s="94">
        <v>0</v>
      </c>
      <c r="M101" s="94">
        <v>0</v>
      </c>
      <c r="N101" s="94">
        <v>0</v>
      </c>
      <c r="O101" s="95">
        <v>0</v>
      </c>
    </row>
    <row r="102" spans="1:15" x14ac:dyDescent="0.25">
      <c r="A102" s="214"/>
      <c r="B102" s="92" t="s">
        <v>91</v>
      </c>
      <c r="C102" s="93">
        <v>0</v>
      </c>
      <c r="D102" s="94">
        <v>0</v>
      </c>
      <c r="E102" s="94">
        <v>0</v>
      </c>
      <c r="F102" s="94">
        <v>0</v>
      </c>
      <c r="G102" s="94">
        <v>0</v>
      </c>
      <c r="H102" s="94">
        <v>0</v>
      </c>
      <c r="I102" s="94">
        <v>0</v>
      </c>
      <c r="J102" s="94">
        <v>0</v>
      </c>
      <c r="K102" s="94">
        <v>0</v>
      </c>
      <c r="L102" s="94">
        <v>0</v>
      </c>
      <c r="M102" s="94">
        <v>0</v>
      </c>
      <c r="N102" s="94">
        <v>0</v>
      </c>
      <c r="O102" s="95">
        <v>0</v>
      </c>
    </row>
    <row r="103" spans="1:15" x14ac:dyDescent="0.25">
      <c r="A103" s="82" t="s">
        <v>83</v>
      </c>
      <c r="B103" s="82" t="s">
        <v>72</v>
      </c>
      <c r="C103" s="89">
        <v>166.38218749995269</v>
      </c>
      <c r="D103" s="90">
        <v>160.30984489046537</v>
      </c>
      <c r="E103" s="90">
        <v>179.7413412408248</v>
      </c>
      <c r="F103" s="90">
        <v>111.73110401456677</v>
      </c>
      <c r="G103" s="90">
        <v>126.30472627733636</v>
      </c>
      <c r="H103" s="90">
        <v>189.45708941600452</v>
      </c>
      <c r="I103" s="90">
        <v>188.24262089410706</v>
      </c>
      <c r="J103" s="90">
        <v>193.10049498169693</v>
      </c>
      <c r="K103" s="90">
        <v>174.88346715323496</v>
      </c>
      <c r="L103" s="90">
        <v>142.09281706200341</v>
      </c>
      <c r="M103" s="90">
        <v>162.73878193426029</v>
      </c>
      <c r="N103" s="90">
        <v>176.09793567513242</v>
      </c>
      <c r="O103" s="91">
        <v>1971.0824110395856</v>
      </c>
    </row>
    <row r="104" spans="1:15" x14ac:dyDescent="0.25">
      <c r="A104" s="214"/>
      <c r="B104" s="92" t="s">
        <v>25</v>
      </c>
      <c r="C104" s="93">
        <v>-21.49749611369927</v>
      </c>
      <c r="D104" s="94">
        <v>-20.712915963564257</v>
      </c>
      <c r="E104" s="94">
        <v>-23.223572443996318</v>
      </c>
      <c r="F104" s="94">
        <v>-14.436274762484189</v>
      </c>
      <c r="G104" s="94">
        <v>-16.319267122808213</v>
      </c>
      <c r="H104" s="94">
        <v>-24.478900684212334</v>
      </c>
      <c r="I104" s="94">
        <v>-24.321984654185314</v>
      </c>
      <c r="J104" s="94">
        <v>-24.949648774293308</v>
      </c>
      <c r="K104" s="94">
        <v>-22.595908323888295</v>
      </c>
      <c r="L104" s="94">
        <v>-18.359175513159215</v>
      </c>
      <c r="M104" s="94">
        <v>-21.026748023618296</v>
      </c>
      <c r="N104" s="94">
        <v>-22.752824353915287</v>
      </c>
      <c r="O104" s="95">
        <v>-254.67471673382428</v>
      </c>
    </row>
    <row r="105" spans="1:15" x14ac:dyDescent="0.25">
      <c r="A105" s="214"/>
      <c r="B105" s="92" t="s">
        <v>26</v>
      </c>
      <c r="C105" s="93">
        <v>-1.7619976035634561</v>
      </c>
      <c r="D105" s="94">
        <v>-1.6976911216815784</v>
      </c>
      <c r="E105" s="94">
        <v>-1.9034718637035877</v>
      </c>
      <c r="F105" s="94">
        <v>-1.1832392666265545</v>
      </c>
      <c r="G105" s="94">
        <v>-1.3375748231430615</v>
      </c>
      <c r="H105" s="94">
        <v>-2.0063622347145929</v>
      </c>
      <c r="I105" s="94">
        <v>-1.993500938338217</v>
      </c>
      <c r="J105" s="94">
        <v>-2.0449461238437192</v>
      </c>
      <c r="K105" s="94">
        <v>-1.8520266781980854</v>
      </c>
      <c r="L105" s="94">
        <v>-1.5047716760359446</v>
      </c>
      <c r="M105" s="94">
        <v>-1.7234137144343296</v>
      </c>
      <c r="N105" s="94">
        <v>-1.8648879745744611</v>
      </c>
      <c r="O105" s="95">
        <v>-20.873884018857584</v>
      </c>
    </row>
    <row r="106" spans="1:15" x14ac:dyDescent="0.25">
      <c r="A106" s="214"/>
      <c r="B106" s="92" t="s">
        <v>27</v>
      </c>
      <c r="C106" s="93">
        <v>-23.259493717262728</v>
      </c>
      <c r="D106" s="94">
        <v>-22.410607085245836</v>
      </c>
      <c r="E106" s="94">
        <v>-25.127044307699904</v>
      </c>
      <c r="F106" s="94">
        <v>-15.619514029110743</v>
      </c>
      <c r="G106" s="94">
        <v>-17.656841945951275</v>
      </c>
      <c r="H106" s="94">
        <v>-26.485262918926928</v>
      </c>
      <c r="I106" s="94">
        <v>-26.31548559252353</v>
      </c>
      <c r="J106" s="94">
        <v>-26.994594898137027</v>
      </c>
      <c r="K106" s="94">
        <v>-24.447935002086382</v>
      </c>
      <c r="L106" s="94">
        <v>-19.863947189195159</v>
      </c>
      <c r="M106" s="94">
        <v>-22.750161738052626</v>
      </c>
      <c r="N106" s="94">
        <v>-24.617712328489748</v>
      </c>
      <c r="O106" s="95">
        <v>-275.54860075268192</v>
      </c>
    </row>
    <row r="107" spans="1:15" x14ac:dyDescent="0.25">
      <c r="A107" s="214"/>
      <c r="B107" s="92" t="s">
        <v>51</v>
      </c>
      <c r="C107" s="93">
        <v>187.87968361365196</v>
      </c>
      <c r="D107" s="94">
        <v>181.02276085402963</v>
      </c>
      <c r="E107" s="94">
        <v>202.96491368482111</v>
      </c>
      <c r="F107" s="94">
        <v>126.16737877705096</v>
      </c>
      <c r="G107" s="94">
        <v>142.62399340014457</v>
      </c>
      <c r="H107" s="94">
        <v>213.93599010021686</v>
      </c>
      <c r="I107" s="94">
        <v>212.56460554829238</v>
      </c>
      <c r="J107" s="94">
        <v>218.05014375599023</v>
      </c>
      <c r="K107" s="94">
        <v>197.47937547712326</v>
      </c>
      <c r="L107" s="94">
        <v>160.45199257516262</v>
      </c>
      <c r="M107" s="94">
        <v>183.76552995787858</v>
      </c>
      <c r="N107" s="94">
        <v>198.85076002904771</v>
      </c>
      <c r="O107" s="95">
        <v>2225.75712777341</v>
      </c>
    </row>
    <row r="108" spans="1:15" x14ac:dyDescent="0.25">
      <c r="A108" s="214"/>
      <c r="B108" s="92" t="s">
        <v>89</v>
      </c>
      <c r="C108" s="93">
        <v>0</v>
      </c>
      <c r="D108" s="94">
        <v>0</v>
      </c>
      <c r="E108" s="94">
        <v>0</v>
      </c>
      <c r="F108" s="94">
        <v>0</v>
      </c>
      <c r="G108" s="94">
        <v>0</v>
      </c>
      <c r="H108" s="94">
        <v>0</v>
      </c>
      <c r="I108" s="94">
        <v>0</v>
      </c>
      <c r="J108" s="94">
        <v>0</v>
      </c>
      <c r="K108" s="94">
        <v>0</v>
      </c>
      <c r="L108" s="94">
        <v>0</v>
      </c>
      <c r="M108" s="94">
        <v>0</v>
      </c>
      <c r="N108" s="94">
        <v>0</v>
      </c>
      <c r="O108" s="95">
        <v>0</v>
      </c>
    </row>
    <row r="109" spans="1:15" x14ac:dyDescent="0.25">
      <c r="A109" s="214"/>
      <c r="B109" s="92" t="s">
        <v>91</v>
      </c>
      <c r="C109" s="93">
        <v>0</v>
      </c>
      <c r="D109" s="94">
        <v>0</v>
      </c>
      <c r="E109" s="94">
        <v>0</v>
      </c>
      <c r="F109" s="94">
        <v>0</v>
      </c>
      <c r="G109" s="94">
        <v>0</v>
      </c>
      <c r="H109" s="94">
        <v>0</v>
      </c>
      <c r="I109" s="94">
        <v>0</v>
      </c>
      <c r="J109" s="94">
        <v>0</v>
      </c>
      <c r="K109" s="94">
        <v>0</v>
      </c>
      <c r="L109" s="94">
        <v>0</v>
      </c>
      <c r="M109" s="94">
        <v>0</v>
      </c>
      <c r="N109" s="94">
        <v>0</v>
      </c>
      <c r="O109" s="95">
        <v>0</v>
      </c>
    </row>
    <row r="110" spans="1:15" x14ac:dyDescent="0.25">
      <c r="A110" s="82" t="s">
        <v>85</v>
      </c>
      <c r="B110" s="82" t="s">
        <v>72</v>
      </c>
      <c r="C110" s="89">
        <v>53.436614963488452</v>
      </c>
      <c r="D110" s="90">
        <v>51.007677919693528</v>
      </c>
      <c r="E110" s="90">
        <v>44.935335310206199</v>
      </c>
      <c r="F110" s="90">
        <v>32.790650091231555</v>
      </c>
      <c r="G110" s="90">
        <v>51.007677919693528</v>
      </c>
      <c r="H110" s="90">
        <v>68.010237226258027</v>
      </c>
      <c r="I110" s="90">
        <v>65.58130018246311</v>
      </c>
      <c r="J110" s="90">
        <v>71.653642791950432</v>
      </c>
      <c r="K110" s="90">
        <v>65.58130018246311</v>
      </c>
      <c r="L110" s="90">
        <v>44.935335310206199</v>
      </c>
      <c r="M110" s="90">
        <v>46.149803832103665</v>
      </c>
      <c r="N110" s="90">
        <v>42.506398266411274</v>
      </c>
      <c r="O110" s="91">
        <v>637.59597399616894</v>
      </c>
    </row>
    <row r="111" spans="1:15" x14ac:dyDescent="0.25">
      <c r="A111" s="214"/>
      <c r="B111" s="92" t="s">
        <v>25</v>
      </c>
      <c r="C111" s="93">
        <v>-6.9043053211880903</v>
      </c>
      <c r="D111" s="94">
        <v>-6.5904732611340862</v>
      </c>
      <c r="E111" s="94">
        <v>-5.8058931109990795</v>
      </c>
      <c r="F111" s="94">
        <v>-4.2367328107290518</v>
      </c>
      <c r="G111" s="94">
        <v>-6.5904732611340862</v>
      </c>
      <c r="H111" s="94">
        <v>-8.7872976815121149</v>
      </c>
      <c r="I111" s="94">
        <v>-8.4734656214581037</v>
      </c>
      <c r="J111" s="94">
        <v>-9.2580457715931175</v>
      </c>
      <c r="K111" s="94">
        <v>-8.4734656214581037</v>
      </c>
      <c r="L111" s="94">
        <v>-5.8058931109990795</v>
      </c>
      <c r="M111" s="94">
        <v>-5.962809141026078</v>
      </c>
      <c r="N111" s="94">
        <v>-5.4920610509450682</v>
      </c>
      <c r="O111" s="95">
        <v>-82.380915764176052</v>
      </c>
    </row>
    <row r="112" spans="1:15" x14ac:dyDescent="0.25">
      <c r="A112" s="214"/>
      <c r="B112" s="92" t="s">
        <v>26</v>
      </c>
      <c r="C112" s="93">
        <v>-0.56589704056052614</v>
      </c>
      <c r="D112" s="94">
        <v>-0.5401744478077749</v>
      </c>
      <c r="E112" s="94">
        <v>-0.47586796592589692</v>
      </c>
      <c r="F112" s="94">
        <v>-0.34725500216214106</v>
      </c>
      <c r="G112" s="94">
        <v>-0.5401744478077749</v>
      </c>
      <c r="H112" s="94">
        <v>-0.72023259707703324</v>
      </c>
      <c r="I112" s="94">
        <v>-0.69451000432428212</v>
      </c>
      <c r="J112" s="94">
        <v>-0.75881648620616005</v>
      </c>
      <c r="K112" s="94">
        <v>-0.69451000432428212</v>
      </c>
      <c r="L112" s="94">
        <v>-0.47586796592589692</v>
      </c>
      <c r="M112" s="94">
        <v>-0.48872926230227259</v>
      </c>
      <c r="N112" s="94">
        <v>-0.45014537317314579</v>
      </c>
      <c r="O112" s="95">
        <v>-6.752180597597186</v>
      </c>
    </row>
    <row r="113" spans="1:15" x14ac:dyDescent="0.25">
      <c r="A113" s="214"/>
      <c r="B113" s="92" t="s">
        <v>27</v>
      </c>
      <c r="C113" s="93">
        <v>-7.4702023617486164</v>
      </c>
      <c r="D113" s="94">
        <v>-7.1306477089418614</v>
      </c>
      <c r="E113" s="94">
        <v>-6.2817610769249761</v>
      </c>
      <c r="F113" s="94">
        <v>-4.5839878128911931</v>
      </c>
      <c r="G113" s="94">
        <v>-7.1306477089418614</v>
      </c>
      <c r="H113" s="94">
        <v>-9.5075302785891473</v>
      </c>
      <c r="I113" s="94">
        <v>-9.1679756257823861</v>
      </c>
      <c r="J113" s="94">
        <v>-10.016862257799277</v>
      </c>
      <c r="K113" s="94">
        <v>-9.1679756257823861</v>
      </c>
      <c r="L113" s="94">
        <v>-6.2817610769249761</v>
      </c>
      <c r="M113" s="94">
        <v>-6.4515384033283505</v>
      </c>
      <c r="N113" s="94">
        <v>-5.942206424118214</v>
      </c>
      <c r="O113" s="95">
        <v>-89.133096361773255</v>
      </c>
    </row>
    <row r="114" spans="1:15" x14ac:dyDescent="0.25">
      <c r="A114" s="214"/>
      <c r="B114" s="92" t="s">
        <v>51</v>
      </c>
      <c r="C114" s="93">
        <v>60.340920284676542</v>
      </c>
      <c r="D114" s="94">
        <v>57.598151180827614</v>
      </c>
      <c r="E114" s="94">
        <v>50.741228421205278</v>
      </c>
      <c r="F114" s="94">
        <v>37.027382901960607</v>
      </c>
      <c r="G114" s="94">
        <v>57.598151180827614</v>
      </c>
      <c r="H114" s="94">
        <v>76.797534907770142</v>
      </c>
      <c r="I114" s="94">
        <v>74.054765803921214</v>
      </c>
      <c r="J114" s="94">
        <v>80.911688563543549</v>
      </c>
      <c r="K114" s="94">
        <v>74.054765803921214</v>
      </c>
      <c r="L114" s="94">
        <v>50.741228421205278</v>
      </c>
      <c r="M114" s="94">
        <v>52.112612973129742</v>
      </c>
      <c r="N114" s="94">
        <v>47.998459317356343</v>
      </c>
      <c r="O114" s="95">
        <v>719.97688976034522</v>
      </c>
    </row>
    <row r="115" spans="1:15" x14ac:dyDescent="0.25">
      <c r="A115" s="214"/>
      <c r="B115" s="92" t="s">
        <v>89</v>
      </c>
      <c r="C115" s="93">
        <v>0</v>
      </c>
      <c r="D115" s="94">
        <v>0</v>
      </c>
      <c r="E115" s="94">
        <v>0</v>
      </c>
      <c r="F115" s="94">
        <v>0</v>
      </c>
      <c r="G115" s="94">
        <v>0</v>
      </c>
      <c r="H115" s="94">
        <v>0</v>
      </c>
      <c r="I115" s="94">
        <v>0</v>
      </c>
      <c r="J115" s="94">
        <v>0</v>
      </c>
      <c r="K115" s="94">
        <v>0</v>
      </c>
      <c r="L115" s="94">
        <v>0</v>
      </c>
      <c r="M115" s="94">
        <v>0</v>
      </c>
      <c r="N115" s="94">
        <v>0</v>
      </c>
      <c r="O115" s="95">
        <v>0</v>
      </c>
    </row>
    <row r="116" spans="1:15" x14ac:dyDescent="0.25">
      <c r="A116" s="214"/>
      <c r="B116" s="92" t="s">
        <v>91</v>
      </c>
      <c r="C116" s="93">
        <v>0</v>
      </c>
      <c r="D116" s="94">
        <v>0</v>
      </c>
      <c r="E116" s="94">
        <v>0</v>
      </c>
      <c r="F116" s="94">
        <v>0</v>
      </c>
      <c r="G116" s="94">
        <v>0</v>
      </c>
      <c r="H116" s="94">
        <v>0</v>
      </c>
      <c r="I116" s="94">
        <v>0</v>
      </c>
      <c r="J116" s="94">
        <v>0</v>
      </c>
      <c r="K116" s="94">
        <v>0</v>
      </c>
      <c r="L116" s="94">
        <v>0</v>
      </c>
      <c r="M116" s="94">
        <v>0</v>
      </c>
      <c r="N116" s="94">
        <v>0</v>
      </c>
      <c r="O116" s="95">
        <v>0</v>
      </c>
    </row>
    <row r="117" spans="1:15" x14ac:dyDescent="0.25">
      <c r="A117" s="82" t="s">
        <v>73</v>
      </c>
      <c r="B117" s="83"/>
      <c r="C117" s="89">
        <v>9716.9626437016159</v>
      </c>
      <c r="D117" s="90">
        <v>9633.1643156906903</v>
      </c>
      <c r="E117" s="90">
        <v>8795.1810355814396</v>
      </c>
      <c r="F117" s="90">
        <v>7864.8981478079832</v>
      </c>
      <c r="G117" s="90">
        <v>9908.8486701614165</v>
      </c>
      <c r="H117" s="90">
        <v>12623.18581660225</v>
      </c>
      <c r="I117" s="90">
        <v>12487.165342149736</v>
      </c>
      <c r="J117" s="90">
        <v>13384.657579831961</v>
      </c>
      <c r="K117" s="90">
        <v>12349.93039917532</v>
      </c>
      <c r="L117" s="90">
        <v>9707.2468955264358</v>
      </c>
      <c r="M117" s="90">
        <v>8795.1810355814432</v>
      </c>
      <c r="N117" s="90">
        <v>8825.5427486288772</v>
      </c>
      <c r="O117" s="91">
        <v>124091.96463043918</v>
      </c>
    </row>
    <row r="118" spans="1:15" ht="13" x14ac:dyDescent="0.3">
      <c r="A118" s="82" t="s">
        <v>28</v>
      </c>
      <c r="B118" s="83"/>
      <c r="C118" s="250">
        <v>-1255.4851562460437</v>
      </c>
      <c r="D118" s="251">
        <v>-1244.6579501741801</v>
      </c>
      <c r="E118" s="251">
        <v>-1136.385889455549</v>
      </c>
      <c r="F118" s="251">
        <v>-1016.1882104548654</v>
      </c>
      <c r="G118" s="251">
        <v>-1280.27788899031</v>
      </c>
      <c r="H118" s="251">
        <v>-1630.9852161006588</v>
      </c>
      <c r="I118" s="251">
        <v>-1613.4106207376353</v>
      </c>
      <c r="J118" s="251">
        <v>-1729.3715669275891</v>
      </c>
      <c r="K118" s="251">
        <v>-1595.6791093445845</v>
      </c>
      <c r="L118" s="251">
        <v>-1254.2298280058276</v>
      </c>
      <c r="M118" s="251">
        <v>-1136.3858894555492</v>
      </c>
      <c r="N118" s="251">
        <v>-1140.3087902062234</v>
      </c>
      <c r="O118" s="252">
        <v>-16033.366116099014</v>
      </c>
    </row>
    <row r="119" spans="1:15" ht="13" x14ac:dyDescent="0.3">
      <c r="A119" s="82" t="s">
        <v>29</v>
      </c>
      <c r="B119" s="83"/>
      <c r="C119" s="250">
        <v>-102.90323230738112</v>
      </c>
      <c r="D119" s="251">
        <v>-102.01580285741119</v>
      </c>
      <c r="E119" s="251">
        <v>-93.141508357712041</v>
      </c>
      <c r="F119" s="251">
        <v>-83.289755333408351</v>
      </c>
      <c r="G119" s="251">
        <v>-104.93531713484845</v>
      </c>
      <c r="H119" s="251">
        <v>-133.68031453604792</v>
      </c>
      <c r="I119" s="251">
        <v>-132.23984934189389</v>
      </c>
      <c r="J119" s="251">
        <v>-141.74434736403541</v>
      </c>
      <c r="K119" s="251">
        <v>-130.78652285136343</v>
      </c>
      <c r="L119" s="251">
        <v>-102.80034193637012</v>
      </c>
      <c r="M119" s="251">
        <v>-93.14150835771207</v>
      </c>
      <c r="N119" s="251">
        <v>-93.463040767121427</v>
      </c>
      <c r="O119" s="252">
        <v>-1314.1415411453052</v>
      </c>
    </row>
    <row r="120" spans="1:15" ht="13" x14ac:dyDescent="0.3">
      <c r="A120" s="82" t="s">
        <v>30</v>
      </c>
      <c r="B120" s="83"/>
      <c r="C120" s="250">
        <v>-1358.3883885534251</v>
      </c>
      <c r="D120" s="251">
        <v>-1346.6737530315911</v>
      </c>
      <c r="E120" s="251">
        <v>-1229.5273978132611</v>
      </c>
      <c r="F120" s="251">
        <v>-1099.4779657882737</v>
      </c>
      <c r="G120" s="251">
        <v>-1385.2132061251584</v>
      </c>
      <c r="H120" s="251">
        <v>-1764.665530636707</v>
      </c>
      <c r="I120" s="251">
        <v>-1745.650470079529</v>
      </c>
      <c r="J120" s="251">
        <v>-1871.1159142916247</v>
      </c>
      <c r="K120" s="251">
        <v>-1726.4656321959478</v>
      </c>
      <c r="L120" s="251">
        <v>-1357.0301699421977</v>
      </c>
      <c r="M120" s="251">
        <v>-1229.5273978132614</v>
      </c>
      <c r="N120" s="251">
        <v>-1233.771830973345</v>
      </c>
      <c r="O120" s="252">
        <v>-17347.507657244318</v>
      </c>
    </row>
    <row r="121" spans="1:15" x14ac:dyDescent="0.25">
      <c r="A121" s="82" t="s">
        <v>63</v>
      </c>
      <c r="B121" s="83"/>
      <c r="C121" s="89">
        <v>10972.44779994766</v>
      </c>
      <c r="D121" s="90">
        <v>10877.822265864874</v>
      </c>
      <c r="E121" s="90">
        <v>9931.566925036992</v>
      </c>
      <c r="F121" s="90">
        <v>8881.0863582628481</v>
      </c>
      <c r="G121" s="90">
        <v>11189.126559151726</v>
      </c>
      <c r="H121" s="90">
        <v>14254.17103270291</v>
      </c>
      <c r="I121" s="90">
        <v>14100.575962887367</v>
      </c>
      <c r="J121" s="90">
        <v>15114.029146759551</v>
      </c>
      <c r="K121" s="90">
        <v>13945.609508519905</v>
      </c>
      <c r="L121" s="90">
        <v>10961.476723532265</v>
      </c>
      <c r="M121" s="90">
        <v>9931.5669250369901</v>
      </c>
      <c r="N121" s="90">
        <v>9965.8515388351025</v>
      </c>
      <c r="O121" s="91">
        <v>140125.33074653821</v>
      </c>
    </row>
    <row r="122" spans="1:15" x14ac:dyDescent="0.25">
      <c r="A122" s="82" t="s">
        <v>90</v>
      </c>
      <c r="B122" s="83"/>
      <c r="C122" s="89">
        <v>0</v>
      </c>
      <c r="D122" s="90">
        <v>0</v>
      </c>
      <c r="E122" s="90">
        <v>0</v>
      </c>
      <c r="F122" s="90">
        <v>0</v>
      </c>
      <c r="G122" s="90">
        <v>0</v>
      </c>
      <c r="H122" s="90">
        <v>0</v>
      </c>
      <c r="I122" s="90">
        <v>0</v>
      </c>
      <c r="J122" s="90">
        <v>0</v>
      </c>
      <c r="K122" s="90">
        <v>0</v>
      </c>
      <c r="L122" s="90">
        <v>0</v>
      </c>
      <c r="M122" s="90">
        <v>0</v>
      </c>
      <c r="N122" s="90">
        <v>0</v>
      </c>
      <c r="O122" s="91">
        <v>0</v>
      </c>
    </row>
    <row r="123" spans="1:15" x14ac:dyDescent="0.25">
      <c r="A123" s="96" t="s">
        <v>92</v>
      </c>
      <c r="B123" s="215"/>
      <c r="C123" s="97">
        <v>0</v>
      </c>
      <c r="D123" s="98">
        <v>0</v>
      </c>
      <c r="E123" s="98">
        <v>0</v>
      </c>
      <c r="F123" s="98">
        <v>0</v>
      </c>
      <c r="G123" s="98">
        <v>0</v>
      </c>
      <c r="H123" s="98">
        <v>0</v>
      </c>
      <c r="I123" s="98">
        <v>0</v>
      </c>
      <c r="J123" s="98">
        <v>0</v>
      </c>
      <c r="K123" s="98">
        <v>0</v>
      </c>
      <c r="L123" s="98">
        <v>0</v>
      </c>
      <c r="M123" s="98">
        <v>0</v>
      </c>
      <c r="N123" s="98">
        <v>0</v>
      </c>
      <c r="O123" s="99">
        <v>0</v>
      </c>
    </row>
  </sheetData>
  <phoneticPr fontId="6" type="noConversion"/>
  <pageMargins left="0.5" right="0.5" top="0.73" bottom="0.98" header="0.5" footer="0.5"/>
  <pageSetup scale="54" fitToHeight="0" orientation="landscape" horizontalDpi="1200" verticalDpi="1200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S220"/>
  <sheetViews>
    <sheetView showGridLines="0" zoomScale="80" zoomScaleNormal="80" zoomScaleSheetLayoutView="100" workbookViewId="0">
      <selection activeCell="Q9" sqref="Q9"/>
    </sheetView>
  </sheetViews>
  <sheetFormatPr defaultColWidth="8.7265625" defaultRowHeight="12.5" x14ac:dyDescent="0.25"/>
  <cols>
    <col min="1" max="1" width="0.54296875" style="1" customWidth="1"/>
    <col min="2" max="2" width="10.26953125" style="1" bestFit="1" customWidth="1"/>
    <col min="3" max="3" width="10.7265625" style="1" bestFit="1" customWidth="1"/>
    <col min="4" max="4" width="11" style="146" customWidth="1"/>
    <col min="5" max="5" width="24.26953125" style="1" customWidth="1"/>
    <col min="6" max="6" width="7.7265625" style="146" customWidth="1"/>
    <col min="7" max="7" width="10.1796875" style="146" customWidth="1"/>
    <col min="8" max="8" width="11.1796875" style="146" bestFit="1" customWidth="1"/>
    <col min="9" max="9" width="11.26953125" style="147" customWidth="1"/>
    <col min="10" max="10" width="13.7265625" style="146" customWidth="1"/>
    <col min="11" max="11" width="13.54296875" style="148" customWidth="1"/>
    <col min="12" max="12" width="14.7265625" style="146" customWidth="1"/>
    <col min="13" max="13" width="13.453125" style="110" bestFit="1" customWidth="1"/>
    <col min="14" max="17" width="13.453125" style="110" customWidth="1"/>
    <col min="18" max="18" width="15.54296875" style="213" customWidth="1"/>
    <col min="19" max="16384" width="8.7265625" style="1"/>
  </cols>
  <sheetData>
    <row r="1" spans="2:19" ht="21.5" x14ac:dyDescent="0.3">
      <c r="B1" s="10" t="s">
        <v>98</v>
      </c>
      <c r="C1" s="100"/>
      <c r="D1" s="101"/>
      <c r="E1" s="100"/>
      <c r="F1" s="102" t="s">
        <v>12</v>
      </c>
      <c r="G1" s="103"/>
      <c r="H1" s="104"/>
      <c r="I1" s="105"/>
      <c r="J1" s="219" t="str">
        <f>"True-Up ARR
(CY"&amp;R1&amp;")"</f>
        <v>True-Up ARR
(CY2023)</v>
      </c>
      <c r="K1" s="219" t="str">
        <f>"Projected ARR
(Jan'"&amp;RIGHT(R$1,2)&amp;" - Dec'"&amp;RIGHT(R$1,2)&amp;")"</f>
        <v>Projected ARR
(Jan'23 - Dec'23)</v>
      </c>
      <c r="L1" s="106" t="s">
        <v>47</v>
      </c>
      <c r="M1" s="107"/>
      <c r="N1" s="50"/>
      <c r="O1" s="50"/>
      <c r="P1" s="50"/>
      <c r="Q1" s="50"/>
      <c r="R1" s="108">
        <v>2023</v>
      </c>
      <c r="S1" s="2"/>
    </row>
    <row r="2" spans="2:19" ht="13" x14ac:dyDescent="0.3">
      <c r="B2" s="10" t="s">
        <v>54</v>
      </c>
      <c r="C2" s="100"/>
      <c r="D2" s="101"/>
      <c r="E2" s="100"/>
      <c r="F2" s="109">
        <v>9</v>
      </c>
      <c r="G2" s="255"/>
      <c r="H2" s="255"/>
      <c r="I2" s="111" t="s">
        <v>6</v>
      </c>
      <c r="J2" s="112">
        <v>124091.96463043918</v>
      </c>
      <c r="K2" s="112">
        <v>150069.48142837861</v>
      </c>
      <c r="L2" s="226"/>
      <c r="M2" s="114"/>
      <c r="N2" s="50"/>
      <c r="O2" s="50"/>
      <c r="P2" s="50"/>
      <c r="Q2" s="50"/>
      <c r="R2" s="1"/>
    </row>
    <row r="3" spans="2:19" ht="13" x14ac:dyDescent="0.3">
      <c r="B3" s="10" t="str">
        <f>"for CY"&amp;R1&amp;" SPP Network Transmission Service"</f>
        <v>for CY2023 SPP Network Transmission Service</v>
      </c>
      <c r="C3" s="100"/>
      <c r="D3" s="101"/>
      <c r="E3" s="100"/>
      <c r="F3" s="109"/>
      <c r="G3" s="255"/>
      <c r="H3" s="255"/>
      <c r="I3" s="111" t="s">
        <v>10</v>
      </c>
      <c r="J3" s="115">
        <v>1.2144685218974649</v>
      </c>
      <c r="K3" s="115">
        <v>1.371384551924467</v>
      </c>
      <c r="L3" s="135" t="str">
        <f>"Inv. Jan-Dec'"&amp;RIGHT(R1,2)</f>
        <v>Inv. Jan-Dec'23</v>
      </c>
      <c r="M3" s="114"/>
      <c r="N3" s="50"/>
      <c r="O3" s="50"/>
      <c r="P3" s="50"/>
      <c r="Q3" s="50"/>
      <c r="R3" s="1"/>
    </row>
    <row r="4" spans="2:19" ht="13" x14ac:dyDescent="0.3">
      <c r="B4" s="9"/>
      <c r="C4" s="100"/>
      <c r="D4" s="101"/>
      <c r="E4" s="100"/>
      <c r="F4" s="109"/>
      <c r="G4" s="110"/>
      <c r="H4" s="110"/>
      <c r="I4" s="49"/>
      <c r="J4" s="110"/>
      <c r="K4" s="116"/>
      <c r="L4" s="110"/>
      <c r="M4" s="117"/>
      <c r="P4" s="50"/>
      <c r="Q4" s="50"/>
      <c r="R4" s="1"/>
    </row>
    <row r="5" spans="2:19" ht="13" x14ac:dyDescent="0.3">
      <c r="B5" s="9"/>
      <c r="C5" s="100"/>
      <c r="D5" s="101"/>
      <c r="E5" s="100"/>
      <c r="F5" s="109"/>
      <c r="G5" s="110"/>
      <c r="H5" s="110"/>
      <c r="I5" s="111"/>
      <c r="J5" s="110"/>
      <c r="K5" s="112">
        <v>0</v>
      </c>
      <c r="L5" s="113"/>
      <c r="M5" s="118"/>
      <c r="N5" s="119"/>
      <c r="O5" s="119"/>
      <c r="P5" s="50"/>
      <c r="Q5" s="50"/>
      <c r="R5" s="120"/>
    </row>
    <row r="6" spans="2:19" ht="13" x14ac:dyDescent="0.3">
      <c r="B6" s="10" t="s">
        <v>23</v>
      </c>
      <c r="D6" s="101"/>
      <c r="E6" s="100"/>
      <c r="F6" s="121"/>
      <c r="G6" s="122"/>
      <c r="H6" s="123"/>
      <c r="I6" s="124"/>
      <c r="J6" s="125"/>
      <c r="K6" s="115">
        <v>0</v>
      </c>
      <c r="L6" s="217"/>
      <c r="M6" s="118"/>
      <c r="N6" s="119"/>
      <c r="O6" s="119"/>
      <c r="P6" s="119"/>
      <c r="Q6" s="119"/>
      <c r="R6" s="1"/>
    </row>
    <row r="7" spans="2:19" ht="13" x14ac:dyDescent="0.3">
      <c r="B7" s="9" t="s">
        <v>79</v>
      </c>
      <c r="D7" s="101"/>
      <c r="E7" s="100"/>
      <c r="F7" s="109"/>
      <c r="G7" s="256"/>
      <c r="H7" s="255"/>
      <c r="I7" s="111"/>
      <c r="J7" s="126"/>
      <c r="K7" s="113"/>
      <c r="L7" s="113"/>
      <c r="M7" s="127"/>
      <c r="N7" s="128"/>
      <c r="O7" s="128"/>
      <c r="P7" s="128"/>
      <c r="Q7" s="128"/>
      <c r="R7" s="1"/>
    </row>
    <row r="8" spans="2:19" ht="13" x14ac:dyDescent="0.3">
      <c r="B8" s="10"/>
      <c r="C8" s="100"/>
      <c r="D8" s="101"/>
      <c r="E8" s="100"/>
      <c r="F8" s="109"/>
      <c r="G8" s="255"/>
      <c r="H8" s="255"/>
      <c r="I8" s="111"/>
      <c r="J8" s="129"/>
      <c r="K8" s="113"/>
      <c r="L8" s="130"/>
      <c r="M8" s="114"/>
      <c r="N8" s="50"/>
      <c r="O8" s="50"/>
      <c r="P8" s="50"/>
      <c r="Q8" s="50"/>
      <c r="R8" s="120"/>
    </row>
    <row r="9" spans="2:19" ht="13" x14ac:dyDescent="0.3">
      <c r="B9" s="131"/>
      <c r="C9" s="100"/>
      <c r="D9" s="101"/>
      <c r="E9" s="100"/>
      <c r="F9" s="109"/>
      <c r="G9" s="110"/>
      <c r="H9" s="110"/>
      <c r="I9" s="132"/>
      <c r="J9" s="133"/>
      <c r="K9" s="134"/>
      <c r="L9" s="135"/>
      <c r="M9" s="114"/>
      <c r="N9" s="50"/>
      <c r="O9" s="50"/>
      <c r="P9" s="50"/>
      <c r="Q9" s="50"/>
      <c r="R9" s="120"/>
    </row>
    <row r="10" spans="2:19" ht="13.5" thickBot="1" x14ac:dyDescent="0.35">
      <c r="B10" s="9"/>
      <c r="D10" s="1"/>
      <c r="E10" s="136"/>
      <c r="F10" s="137"/>
      <c r="G10" s="138"/>
      <c r="H10" s="139"/>
      <c r="I10" s="140"/>
      <c r="J10" s="141"/>
      <c r="K10" s="141"/>
      <c r="L10" s="142"/>
      <c r="M10" s="143"/>
      <c r="R10" s="144"/>
    </row>
    <row r="11" spans="2:19" ht="13" x14ac:dyDescent="0.3">
      <c r="B11" s="145" t="s">
        <v>97</v>
      </c>
      <c r="E11" s="136"/>
      <c r="L11" s="149"/>
      <c r="M11" s="1"/>
      <c r="N11" s="1"/>
      <c r="O11" s="1"/>
      <c r="P11" s="1"/>
      <c r="Q11" s="1"/>
      <c r="R11" s="120"/>
    </row>
    <row r="12" spans="2:19" x14ac:dyDescent="0.25">
      <c r="E12" s="136"/>
      <c r="J12" s="216"/>
      <c r="L12" s="149"/>
      <c r="R12" s="150" t="s">
        <v>62</v>
      </c>
    </row>
    <row r="13" spans="2:19" ht="13" x14ac:dyDescent="0.3">
      <c r="E13" s="136"/>
      <c r="F13" s="151"/>
      <c r="G13" s="152"/>
      <c r="H13" s="152"/>
      <c r="I13" s="153" t="s">
        <v>60</v>
      </c>
      <c r="J13" s="154">
        <f t="shared" ref="J13:R13" si="0">SUM(J56:J211)</f>
        <v>32773.647531924988</v>
      </c>
      <c r="K13" s="154">
        <f t="shared" si="0"/>
        <v>37008.183518233622</v>
      </c>
      <c r="L13" s="155">
        <f t="shared" si="0"/>
        <v>-4234.535986308676</v>
      </c>
      <c r="M13" s="156">
        <f t="shared" si="0"/>
        <v>-347.07494401287187</v>
      </c>
      <c r="N13" s="154">
        <f t="shared" si="0"/>
        <v>-4581.6109303215489</v>
      </c>
      <c r="O13" s="154">
        <f t="shared" si="0"/>
        <v>0</v>
      </c>
      <c r="P13" s="154">
        <f t="shared" si="0"/>
        <v>0</v>
      </c>
      <c r="Q13" s="154">
        <f t="shared" si="0"/>
        <v>0</v>
      </c>
      <c r="R13" s="155">
        <f t="shared" si="0"/>
        <v>-4581.6109303215489</v>
      </c>
    </row>
    <row r="14" spans="2:19" ht="13" x14ac:dyDescent="0.3">
      <c r="E14" s="136"/>
      <c r="F14" s="157"/>
      <c r="G14" s="157"/>
      <c r="H14" s="157"/>
      <c r="I14" s="158" t="s">
        <v>61</v>
      </c>
      <c r="J14" s="154">
        <f>SUM(J20:J211)</f>
        <v>124091.96463043928</v>
      </c>
      <c r="K14" s="154">
        <f>SUM(K20:K211)</f>
        <v>140125.33074653801</v>
      </c>
      <c r="L14" s="155">
        <f>SUM(L20:L211)</f>
        <v>-16033.36611609902</v>
      </c>
      <c r="M14" s="218">
        <v>-1314.1415411453054</v>
      </c>
      <c r="N14" s="154">
        <f>SUM(N20:N211)</f>
        <v>-17347.507657244321</v>
      </c>
      <c r="O14" s="154">
        <f>SUM(O20:O211)</f>
        <v>0</v>
      </c>
      <c r="P14" s="154">
        <f>SUM(P20:P211)</f>
        <v>0</v>
      </c>
      <c r="Q14" s="154">
        <f>SUM(Q20:Q211)</f>
        <v>0</v>
      </c>
      <c r="R14" s="155">
        <f>SUM(R20:R211)</f>
        <v>-17347.507657244321</v>
      </c>
    </row>
    <row r="15" spans="2:19" x14ac:dyDescent="0.25">
      <c r="B15" s="159" t="s">
        <v>84</v>
      </c>
      <c r="E15" s="136"/>
      <c r="J15" s="147"/>
      <c r="L15" s="149"/>
      <c r="M15" s="227"/>
      <c r="N15" s="160"/>
      <c r="O15" s="160"/>
      <c r="P15" s="160"/>
      <c r="Q15" s="160"/>
      <c r="R15" s="161" t="s">
        <v>20</v>
      </c>
    </row>
    <row r="16" spans="2:19" x14ac:dyDescent="0.25">
      <c r="B16" s="162" t="str">
        <f>"** Actual Trued-Up CY"&amp;R1&amp;" Charge reflects "&amp;R1&amp;" True-UP Rate x MW"</f>
        <v>** Actual Trued-Up CY2023 Charge reflects 2023 True-UP Rate x MW</v>
      </c>
      <c r="E16" s="136"/>
      <c r="F16" s="110"/>
      <c r="G16" s="5"/>
      <c r="J16" s="163"/>
      <c r="L16" s="164" t="s">
        <v>11</v>
      </c>
      <c r="M16" s="160"/>
      <c r="N16" s="160"/>
      <c r="O16" s="160"/>
      <c r="P16" s="160"/>
      <c r="Q16" s="160"/>
      <c r="R16" s="165"/>
    </row>
    <row r="17" spans="1:18" x14ac:dyDescent="0.25">
      <c r="B17" s="166" t="s">
        <v>64</v>
      </c>
      <c r="E17" s="136"/>
      <c r="I17" s="167"/>
      <c r="J17" s="168"/>
      <c r="K17" s="169"/>
      <c r="L17" s="169"/>
      <c r="M17" s="169"/>
      <c r="N17" s="169"/>
      <c r="O17" s="169"/>
      <c r="P17" s="169"/>
      <c r="Q17" s="169"/>
      <c r="R17" s="170"/>
    </row>
    <row r="18" spans="1:18" ht="3.65" customHeight="1" x14ac:dyDescent="0.25">
      <c r="I18" s="171"/>
      <c r="J18" s="168"/>
      <c r="K18" s="171"/>
      <c r="L18" s="171"/>
      <c r="M18" s="172"/>
      <c r="N18" s="172"/>
      <c r="O18" s="172"/>
      <c r="P18" s="172"/>
      <c r="Q18" s="172"/>
      <c r="R18" s="173"/>
    </row>
    <row r="19" spans="1:18" ht="38.25" customHeight="1" x14ac:dyDescent="0.25">
      <c r="B19" s="174" t="s">
        <v>55</v>
      </c>
      <c r="C19" s="228" t="s">
        <v>4</v>
      </c>
      <c r="D19" s="228" t="s">
        <v>5</v>
      </c>
      <c r="E19" s="220" t="s">
        <v>0</v>
      </c>
      <c r="F19" s="221" t="s">
        <v>12</v>
      </c>
      <c r="G19" s="222" t="s">
        <v>1</v>
      </c>
      <c r="H19" s="175" t="s">
        <v>50</v>
      </c>
      <c r="I19" s="175" t="s">
        <v>48</v>
      </c>
      <c r="J19" s="176" t="str">
        <f>"True-Up Charge"</f>
        <v>True-Up Charge</v>
      </c>
      <c r="K19" s="176" t="s">
        <v>49</v>
      </c>
      <c r="L19" s="177" t="s">
        <v>3</v>
      </c>
      <c r="M19" s="178" t="s">
        <v>7</v>
      </c>
      <c r="N19" s="179" t="s">
        <v>105</v>
      </c>
      <c r="O19" s="179" t="s">
        <v>86</v>
      </c>
      <c r="P19" s="179" t="s">
        <v>87</v>
      </c>
      <c r="Q19" s="179" t="s">
        <v>88</v>
      </c>
      <c r="R19" s="180" t="s">
        <v>2</v>
      </c>
    </row>
    <row r="20" spans="1:18" s="50" customFormat="1" ht="12.75" customHeight="1" x14ac:dyDescent="0.25">
      <c r="A20" s="110">
        <v>1</v>
      </c>
      <c r="B20" s="181">
        <f>DATE($R$1,A20,1)</f>
        <v>44927</v>
      </c>
      <c r="C20" s="223">
        <v>44960</v>
      </c>
      <c r="D20" s="223">
        <v>44981</v>
      </c>
      <c r="E20" s="182" t="s">
        <v>21</v>
      </c>
      <c r="F20" s="110">
        <v>9</v>
      </c>
      <c r="G20" s="183">
        <v>2810</v>
      </c>
      <c r="H20" s="184">
        <f>+$K$3</f>
        <v>1.371384551924467</v>
      </c>
      <c r="I20" s="184">
        <f t="shared" ref="I20:I63" si="1">$J$3</f>
        <v>1.2144685218974649</v>
      </c>
      <c r="J20" s="185">
        <f t="shared" ref="J20:J108" si="2">+$G20*I20</f>
        <v>3412.6565465318763</v>
      </c>
      <c r="K20" s="186">
        <f>+$G20*H20</f>
        <v>3853.5905909077524</v>
      </c>
      <c r="L20" s="187">
        <f t="shared" ref="L20:L34" si="3">+J20-K20</f>
        <v>-440.93404437587606</v>
      </c>
      <c r="M20" s="188">
        <f>G20/$G$212*$M$14</f>
        <v>-36.140242817615416</v>
      </c>
      <c r="N20" s="189">
        <f>SUM(L20:M20)</f>
        <v>-477.0742871934915</v>
      </c>
      <c r="O20" s="188">
        <v>0</v>
      </c>
      <c r="P20" s="188">
        <v>0</v>
      </c>
      <c r="Q20" s="188">
        <v>0</v>
      </c>
      <c r="R20" s="189">
        <f>+N20-Q20</f>
        <v>-477.0742871934915</v>
      </c>
    </row>
    <row r="21" spans="1:18" x14ac:dyDescent="0.25">
      <c r="A21" s="146">
        <v>2</v>
      </c>
      <c r="B21" s="181">
        <f t="shared" ref="B21:B108" si="4">DATE($R$1,A21,1)</f>
        <v>44958</v>
      </c>
      <c r="C21" s="223">
        <v>44988</v>
      </c>
      <c r="D21" s="223">
        <v>45009</v>
      </c>
      <c r="E21" s="190" t="s">
        <v>21</v>
      </c>
      <c r="F21" s="146">
        <v>9</v>
      </c>
      <c r="G21" s="183">
        <v>2771</v>
      </c>
      <c r="H21" s="184">
        <f t="shared" ref="H21:H84" si="5">+$K$3</f>
        <v>1.371384551924467</v>
      </c>
      <c r="I21" s="184">
        <f t="shared" si="1"/>
        <v>1.2144685218974649</v>
      </c>
      <c r="J21" s="185">
        <f t="shared" si="2"/>
        <v>3365.2922741778752</v>
      </c>
      <c r="K21" s="186">
        <f t="shared" ref="K21:K33" si="6">+$G21*H21</f>
        <v>3800.1065933826981</v>
      </c>
      <c r="L21" s="187">
        <f t="shared" si="3"/>
        <v>-434.81431920482282</v>
      </c>
      <c r="M21" s="188">
        <f t="shared" ref="M21:M84" si="7">G21/$G$212*$M$14</f>
        <v>-35.638652258936773</v>
      </c>
      <c r="N21" s="189">
        <f t="shared" ref="N21:N84" si="8">SUM(L21:M21)</f>
        <v>-470.45297146375958</v>
      </c>
      <c r="O21" s="188">
        <v>0</v>
      </c>
      <c r="P21" s="188">
        <v>0</v>
      </c>
      <c r="Q21" s="188">
        <v>0</v>
      </c>
      <c r="R21" s="189">
        <f t="shared" ref="R21:R84" si="9">+N21-Q21</f>
        <v>-470.45297146375958</v>
      </c>
    </row>
    <row r="22" spans="1:18" x14ac:dyDescent="0.25">
      <c r="A22" s="146">
        <v>3</v>
      </c>
      <c r="B22" s="181">
        <f t="shared" si="4"/>
        <v>44986</v>
      </c>
      <c r="C22" s="223">
        <v>45021</v>
      </c>
      <c r="D22" s="223">
        <v>45040</v>
      </c>
      <c r="E22" s="190" t="s">
        <v>21</v>
      </c>
      <c r="F22" s="146">
        <v>9</v>
      </c>
      <c r="G22" s="183">
        <v>2389</v>
      </c>
      <c r="H22" s="184">
        <f t="shared" si="5"/>
        <v>1.371384551924467</v>
      </c>
      <c r="I22" s="184">
        <f t="shared" si="1"/>
        <v>1.2144685218974649</v>
      </c>
      <c r="J22" s="185">
        <f t="shared" si="2"/>
        <v>2901.3652988130439</v>
      </c>
      <c r="K22" s="186">
        <f t="shared" si="6"/>
        <v>3276.2376945475517</v>
      </c>
      <c r="L22" s="187">
        <f t="shared" si="3"/>
        <v>-374.87239573450779</v>
      </c>
      <c r="M22" s="188">
        <f t="shared" si="7"/>
        <v>-30.725637043161296</v>
      </c>
      <c r="N22" s="189">
        <f t="shared" si="8"/>
        <v>-405.59803277766906</v>
      </c>
      <c r="O22" s="188">
        <v>0</v>
      </c>
      <c r="P22" s="188">
        <v>0</v>
      </c>
      <c r="Q22" s="188">
        <v>0</v>
      </c>
      <c r="R22" s="189">
        <f t="shared" si="9"/>
        <v>-405.59803277766906</v>
      </c>
    </row>
    <row r="23" spans="1:18" x14ac:dyDescent="0.25">
      <c r="A23" s="110">
        <v>4</v>
      </c>
      <c r="B23" s="181">
        <f t="shared" si="4"/>
        <v>45017</v>
      </c>
      <c r="C23" s="223">
        <v>45049</v>
      </c>
      <c r="D23" s="223">
        <v>45070</v>
      </c>
      <c r="E23" s="190" t="s">
        <v>21</v>
      </c>
      <c r="F23" s="146">
        <v>9</v>
      </c>
      <c r="G23" s="183">
        <v>2392</v>
      </c>
      <c r="H23" s="184">
        <f t="shared" si="5"/>
        <v>1.371384551924467</v>
      </c>
      <c r="I23" s="184">
        <f t="shared" si="1"/>
        <v>1.2144685218974649</v>
      </c>
      <c r="J23" s="185">
        <f t="shared" si="2"/>
        <v>2905.0087043787362</v>
      </c>
      <c r="K23" s="186">
        <f t="shared" si="6"/>
        <v>3280.3518482033251</v>
      </c>
      <c r="L23" s="187">
        <f t="shared" si="3"/>
        <v>-375.34314382458888</v>
      </c>
      <c r="M23" s="188">
        <f t="shared" si="7"/>
        <v>-30.764220932290421</v>
      </c>
      <c r="N23" s="189">
        <f t="shared" si="8"/>
        <v>-406.10736475687929</v>
      </c>
      <c r="O23" s="188">
        <v>0</v>
      </c>
      <c r="P23" s="188">
        <v>0</v>
      </c>
      <c r="Q23" s="188">
        <v>0</v>
      </c>
      <c r="R23" s="189">
        <f t="shared" si="9"/>
        <v>-406.10736475687929</v>
      </c>
    </row>
    <row r="24" spans="1:18" ht="12" customHeight="1" x14ac:dyDescent="0.25">
      <c r="A24" s="146">
        <v>5</v>
      </c>
      <c r="B24" s="181">
        <f t="shared" si="4"/>
        <v>45047</v>
      </c>
      <c r="C24" s="223">
        <v>45082</v>
      </c>
      <c r="D24" s="223">
        <v>45103</v>
      </c>
      <c r="E24" s="52" t="s">
        <v>21</v>
      </c>
      <c r="F24" s="146">
        <v>9</v>
      </c>
      <c r="G24" s="183">
        <v>3231</v>
      </c>
      <c r="H24" s="184">
        <f t="shared" si="5"/>
        <v>1.371384551924467</v>
      </c>
      <c r="I24" s="184">
        <f t="shared" si="1"/>
        <v>1.2144685218974649</v>
      </c>
      <c r="J24" s="185">
        <f t="shared" si="2"/>
        <v>3923.9477942507092</v>
      </c>
      <c r="K24" s="186">
        <f t="shared" si="6"/>
        <v>4430.9434872679531</v>
      </c>
      <c r="L24" s="187">
        <f t="shared" si="3"/>
        <v>-506.99569301724387</v>
      </c>
      <c r="M24" s="188">
        <f t="shared" si="7"/>
        <v>-41.55484859206954</v>
      </c>
      <c r="N24" s="189">
        <f t="shared" si="8"/>
        <v>-548.55054160931343</v>
      </c>
      <c r="O24" s="188">
        <v>0</v>
      </c>
      <c r="P24" s="188">
        <v>0</v>
      </c>
      <c r="Q24" s="188">
        <v>0</v>
      </c>
      <c r="R24" s="189">
        <f t="shared" si="9"/>
        <v>-548.55054160931343</v>
      </c>
    </row>
    <row r="25" spans="1:18" x14ac:dyDescent="0.25">
      <c r="A25" s="146">
        <v>6</v>
      </c>
      <c r="B25" s="181">
        <f t="shared" si="4"/>
        <v>45078</v>
      </c>
      <c r="C25" s="223">
        <v>45112</v>
      </c>
      <c r="D25" s="223">
        <v>45131</v>
      </c>
      <c r="E25" s="52" t="s">
        <v>21</v>
      </c>
      <c r="F25" s="146">
        <v>9</v>
      </c>
      <c r="G25" s="183">
        <v>4100</v>
      </c>
      <c r="H25" s="184">
        <f t="shared" si="5"/>
        <v>1.371384551924467</v>
      </c>
      <c r="I25" s="184">
        <f t="shared" si="1"/>
        <v>1.2144685218974649</v>
      </c>
      <c r="J25" s="185">
        <f t="shared" si="2"/>
        <v>4979.3209397796063</v>
      </c>
      <c r="K25" s="186">
        <f t="shared" si="6"/>
        <v>5622.6766628903142</v>
      </c>
      <c r="L25" s="191">
        <f t="shared" si="3"/>
        <v>-643.35572311070791</v>
      </c>
      <c r="M25" s="188">
        <f t="shared" si="7"/>
        <v>-52.731315143139931</v>
      </c>
      <c r="N25" s="189">
        <f t="shared" si="8"/>
        <v>-696.08703825384782</v>
      </c>
      <c r="O25" s="188">
        <v>0</v>
      </c>
      <c r="P25" s="188">
        <v>0</v>
      </c>
      <c r="Q25" s="188">
        <v>0</v>
      </c>
      <c r="R25" s="189">
        <f t="shared" si="9"/>
        <v>-696.08703825384782</v>
      </c>
    </row>
    <row r="26" spans="1:18" x14ac:dyDescent="0.25">
      <c r="A26" s="110">
        <v>7</v>
      </c>
      <c r="B26" s="181">
        <f t="shared" si="4"/>
        <v>45108</v>
      </c>
      <c r="C26" s="223">
        <v>45141</v>
      </c>
      <c r="D26" s="223">
        <v>45162</v>
      </c>
      <c r="E26" s="52" t="s">
        <v>21</v>
      </c>
      <c r="F26" s="146">
        <v>9</v>
      </c>
      <c r="G26" s="183">
        <v>3988</v>
      </c>
      <c r="H26" s="184">
        <f t="shared" si="5"/>
        <v>1.371384551924467</v>
      </c>
      <c r="I26" s="184">
        <f t="shared" si="1"/>
        <v>1.2144685218974649</v>
      </c>
      <c r="J26" s="185">
        <f t="shared" si="2"/>
        <v>4843.30046532709</v>
      </c>
      <c r="K26" s="192">
        <f t="shared" si="6"/>
        <v>5469.081593074774</v>
      </c>
      <c r="L26" s="191">
        <f t="shared" si="3"/>
        <v>-625.78112774768397</v>
      </c>
      <c r="M26" s="188">
        <f t="shared" si="7"/>
        <v>-51.290849948985866</v>
      </c>
      <c r="N26" s="189">
        <f t="shared" si="8"/>
        <v>-677.07197769666982</v>
      </c>
      <c r="O26" s="188">
        <v>0</v>
      </c>
      <c r="P26" s="188">
        <v>0</v>
      </c>
      <c r="Q26" s="188">
        <v>0</v>
      </c>
      <c r="R26" s="189">
        <f t="shared" si="9"/>
        <v>-677.07197769666982</v>
      </c>
    </row>
    <row r="27" spans="1:18" x14ac:dyDescent="0.25">
      <c r="A27" s="146">
        <v>8</v>
      </c>
      <c r="B27" s="181">
        <f t="shared" si="4"/>
        <v>45139</v>
      </c>
      <c r="C27" s="223">
        <v>45174</v>
      </c>
      <c r="D27" s="223">
        <v>45194</v>
      </c>
      <c r="E27" s="52" t="s">
        <v>21</v>
      </c>
      <c r="F27" s="146">
        <v>9</v>
      </c>
      <c r="G27" s="183">
        <v>4265</v>
      </c>
      <c r="H27" s="184">
        <f t="shared" si="5"/>
        <v>1.371384551924467</v>
      </c>
      <c r="I27" s="184">
        <f t="shared" si="1"/>
        <v>1.2144685218974649</v>
      </c>
      <c r="J27" s="185">
        <f t="shared" si="2"/>
        <v>5179.708245892688</v>
      </c>
      <c r="K27" s="192">
        <f t="shared" si="6"/>
        <v>5848.9551139578516</v>
      </c>
      <c r="L27" s="191">
        <f t="shared" si="3"/>
        <v>-669.24686806516365</v>
      </c>
      <c r="M27" s="188">
        <f t="shared" si="7"/>
        <v>-54.853429045241903</v>
      </c>
      <c r="N27" s="189">
        <f t="shared" si="8"/>
        <v>-724.10029711040556</v>
      </c>
      <c r="O27" s="188">
        <v>0</v>
      </c>
      <c r="P27" s="188">
        <v>0</v>
      </c>
      <c r="Q27" s="188">
        <v>0</v>
      </c>
      <c r="R27" s="189">
        <f t="shared" si="9"/>
        <v>-724.10029711040556</v>
      </c>
    </row>
    <row r="28" spans="1:18" x14ac:dyDescent="0.25">
      <c r="A28" s="146">
        <v>9</v>
      </c>
      <c r="B28" s="181">
        <f t="shared" si="4"/>
        <v>45170</v>
      </c>
      <c r="C28" s="223">
        <v>45203</v>
      </c>
      <c r="D28" s="223">
        <v>45223</v>
      </c>
      <c r="E28" s="52" t="s">
        <v>21</v>
      </c>
      <c r="F28" s="146">
        <v>9</v>
      </c>
      <c r="G28" s="183">
        <v>4016</v>
      </c>
      <c r="H28" s="184">
        <f t="shared" si="5"/>
        <v>1.371384551924467</v>
      </c>
      <c r="I28" s="184">
        <f t="shared" si="1"/>
        <v>1.2144685218974649</v>
      </c>
      <c r="J28" s="185">
        <f t="shared" si="2"/>
        <v>4877.3055839402186</v>
      </c>
      <c r="K28" s="192">
        <f t="shared" si="6"/>
        <v>5507.4803605286597</v>
      </c>
      <c r="L28" s="191">
        <f t="shared" si="3"/>
        <v>-630.17477658844109</v>
      </c>
      <c r="M28" s="188">
        <f t="shared" si="7"/>
        <v>-51.650966247524387</v>
      </c>
      <c r="N28" s="189">
        <f t="shared" si="8"/>
        <v>-681.82574283596546</v>
      </c>
      <c r="O28" s="188">
        <v>0</v>
      </c>
      <c r="P28" s="188">
        <v>0</v>
      </c>
      <c r="Q28" s="188">
        <v>0</v>
      </c>
      <c r="R28" s="189">
        <f t="shared" si="9"/>
        <v>-681.82574283596546</v>
      </c>
    </row>
    <row r="29" spans="1:18" x14ac:dyDescent="0.25">
      <c r="A29" s="110">
        <v>10</v>
      </c>
      <c r="B29" s="181">
        <f t="shared" si="4"/>
        <v>45200</v>
      </c>
      <c r="C29" s="223">
        <v>45233</v>
      </c>
      <c r="D29" s="223">
        <v>45254</v>
      </c>
      <c r="E29" s="52" t="s">
        <v>21</v>
      </c>
      <c r="F29" s="146">
        <v>9</v>
      </c>
      <c r="G29" s="183">
        <v>3105</v>
      </c>
      <c r="H29" s="184">
        <f t="shared" si="5"/>
        <v>1.371384551924467</v>
      </c>
      <c r="I29" s="184">
        <f t="shared" si="1"/>
        <v>1.2144685218974649</v>
      </c>
      <c r="J29" s="185">
        <f t="shared" si="2"/>
        <v>3770.9247604916286</v>
      </c>
      <c r="K29" s="192">
        <f t="shared" si="6"/>
        <v>4258.14903372547</v>
      </c>
      <c r="L29" s="191">
        <f t="shared" si="3"/>
        <v>-487.22427323384136</v>
      </c>
      <c r="M29" s="188">
        <f t="shared" si="7"/>
        <v>-39.934325248646218</v>
      </c>
      <c r="N29" s="189">
        <f t="shared" si="8"/>
        <v>-527.1585984824876</v>
      </c>
      <c r="O29" s="188">
        <v>0</v>
      </c>
      <c r="P29" s="188">
        <v>0</v>
      </c>
      <c r="Q29" s="188">
        <v>0</v>
      </c>
      <c r="R29" s="189">
        <f t="shared" si="9"/>
        <v>-527.1585984824876</v>
      </c>
    </row>
    <row r="30" spans="1:18" x14ac:dyDescent="0.25">
      <c r="A30" s="146">
        <v>11</v>
      </c>
      <c r="B30" s="181">
        <f t="shared" si="4"/>
        <v>45231</v>
      </c>
      <c r="C30" s="223">
        <v>45266</v>
      </c>
      <c r="D30" s="223">
        <v>45285</v>
      </c>
      <c r="E30" s="52" t="s">
        <v>21</v>
      </c>
      <c r="F30" s="146">
        <v>9</v>
      </c>
      <c r="G30" s="183">
        <v>2513</v>
      </c>
      <c r="H30" s="184">
        <f t="shared" si="5"/>
        <v>1.371384551924467</v>
      </c>
      <c r="I30" s="184">
        <f t="shared" si="1"/>
        <v>1.2144685218974649</v>
      </c>
      <c r="J30" s="185">
        <f t="shared" si="2"/>
        <v>3051.9593955283294</v>
      </c>
      <c r="K30" s="192">
        <f t="shared" si="6"/>
        <v>3446.2893789861855</v>
      </c>
      <c r="L30" s="191">
        <f t="shared" si="3"/>
        <v>-394.32998345785609</v>
      </c>
      <c r="M30" s="188">
        <f t="shared" si="7"/>
        <v>-32.320437793831871</v>
      </c>
      <c r="N30" s="189">
        <f t="shared" si="8"/>
        <v>-426.65042125168793</v>
      </c>
      <c r="O30" s="188">
        <v>0</v>
      </c>
      <c r="P30" s="188">
        <v>0</v>
      </c>
      <c r="Q30" s="188">
        <v>0</v>
      </c>
      <c r="R30" s="189">
        <f t="shared" si="9"/>
        <v>-426.65042125168793</v>
      </c>
    </row>
    <row r="31" spans="1:18" x14ac:dyDescent="0.25">
      <c r="A31" s="146">
        <v>12</v>
      </c>
      <c r="B31" s="181">
        <f t="shared" si="4"/>
        <v>45261</v>
      </c>
      <c r="C31" s="224">
        <v>45294</v>
      </c>
      <c r="D31" s="225">
        <v>45315</v>
      </c>
      <c r="E31" s="52" t="s">
        <v>21</v>
      </c>
      <c r="F31" s="146">
        <v>9</v>
      </c>
      <c r="G31" s="183">
        <v>2474</v>
      </c>
      <c r="H31" s="193">
        <f t="shared" si="5"/>
        <v>1.371384551924467</v>
      </c>
      <c r="I31" s="193">
        <f t="shared" si="1"/>
        <v>1.2144685218974649</v>
      </c>
      <c r="J31" s="194">
        <f t="shared" si="2"/>
        <v>3004.5951231743284</v>
      </c>
      <c r="K31" s="195">
        <f t="shared" si="6"/>
        <v>3392.8053814611312</v>
      </c>
      <c r="L31" s="196">
        <f t="shared" si="3"/>
        <v>-388.21025828680285</v>
      </c>
      <c r="M31" s="188">
        <f t="shared" si="7"/>
        <v>-31.818847235153218</v>
      </c>
      <c r="N31" s="189">
        <f t="shared" si="8"/>
        <v>-420.02910552195607</v>
      </c>
      <c r="O31" s="188">
        <v>0</v>
      </c>
      <c r="P31" s="188">
        <v>0</v>
      </c>
      <c r="Q31" s="188">
        <v>0</v>
      </c>
      <c r="R31" s="189">
        <f t="shared" si="9"/>
        <v>-420.02910552195607</v>
      </c>
    </row>
    <row r="32" spans="1:18" x14ac:dyDescent="0.25">
      <c r="A32" s="110">
        <v>1</v>
      </c>
      <c r="B32" s="197">
        <f t="shared" si="4"/>
        <v>44927</v>
      </c>
      <c r="C32" s="198">
        <f t="shared" ref="C32:D43" si="10">+C20</f>
        <v>44960</v>
      </c>
      <c r="D32" s="198">
        <f t="shared" si="10"/>
        <v>44981</v>
      </c>
      <c r="E32" s="199" t="s">
        <v>22</v>
      </c>
      <c r="F32" s="200">
        <v>9</v>
      </c>
      <c r="G32" s="183">
        <v>2724</v>
      </c>
      <c r="H32" s="184">
        <f t="shared" si="5"/>
        <v>1.371384551924467</v>
      </c>
      <c r="I32" s="184">
        <f t="shared" si="1"/>
        <v>1.2144685218974649</v>
      </c>
      <c r="J32" s="185">
        <f t="shared" si="2"/>
        <v>3308.2122536486945</v>
      </c>
      <c r="K32" s="186">
        <f t="shared" si="6"/>
        <v>3735.6515194422482</v>
      </c>
      <c r="L32" s="187">
        <f t="shared" si="3"/>
        <v>-427.43926579355366</v>
      </c>
      <c r="M32" s="188">
        <f t="shared" si="7"/>
        <v>-35.034171329247116</v>
      </c>
      <c r="N32" s="189">
        <f t="shared" si="8"/>
        <v>-462.47343712280076</v>
      </c>
      <c r="O32" s="188">
        <v>0</v>
      </c>
      <c r="P32" s="188">
        <v>0</v>
      </c>
      <c r="Q32" s="188">
        <v>0</v>
      </c>
      <c r="R32" s="189">
        <f t="shared" si="9"/>
        <v>-462.47343712280076</v>
      </c>
    </row>
    <row r="33" spans="1:18" x14ac:dyDescent="0.25">
      <c r="A33" s="146">
        <v>2</v>
      </c>
      <c r="B33" s="181">
        <f t="shared" si="4"/>
        <v>44958</v>
      </c>
      <c r="C33" s="201">
        <f t="shared" si="10"/>
        <v>44988</v>
      </c>
      <c r="D33" s="201">
        <f t="shared" si="10"/>
        <v>45009</v>
      </c>
      <c r="E33" s="190" t="s">
        <v>22</v>
      </c>
      <c r="F33" s="146">
        <v>9</v>
      </c>
      <c r="G33" s="183">
        <v>2757</v>
      </c>
      <c r="H33" s="184">
        <f t="shared" si="5"/>
        <v>1.371384551924467</v>
      </c>
      <c r="I33" s="184">
        <f t="shared" si="1"/>
        <v>1.2144685218974649</v>
      </c>
      <c r="J33" s="185">
        <f t="shared" si="2"/>
        <v>3348.2897148713109</v>
      </c>
      <c r="K33" s="186">
        <f t="shared" si="6"/>
        <v>3780.9072096557552</v>
      </c>
      <c r="L33" s="187">
        <f t="shared" si="3"/>
        <v>-432.61749478444426</v>
      </c>
      <c r="M33" s="188">
        <f t="shared" si="7"/>
        <v>-35.458594109667509</v>
      </c>
      <c r="N33" s="189">
        <f t="shared" si="8"/>
        <v>-468.07608889411176</v>
      </c>
      <c r="O33" s="188">
        <v>0</v>
      </c>
      <c r="P33" s="188">
        <v>0</v>
      </c>
      <c r="Q33" s="188">
        <v>0</v>
      </c>
      <c r="R33" s="189">
        <f t="shared" si="9"/>
        <v>-468.07608889411176</v>
      </c>
    </row>
    <row r="34" spans="1:18" x14ac:dyDescent="0.25">
      <c r="A34" s="146">
        <v>3</v>
      </c>
      <c r="B34" s="181">
        <f t="shared" si="4"/>
        <v>44986</v>
      </c>
      <c r="C34" s="201">
        <f t="shared" si="10"/>
        <v>45021</v>
      </c>
      <c r="D34" s="201">
        <f t="shared" si="10"/>
        <v>45040</v>
      </c>
      <c r="E34" s="190" t="s">
        <v>22</v>
      </c>
      <c r="F34" s="146">
        <v>9</v>
      </c>
      <c r="G34" s="183">
        <v>2641</v>
      </c>
      <c r="H34" s="184">
        <f t="shared" si="5"/>
        <v>1.371384551924467</v>
      </c>
      <c r="I34" s="184">
        <f t="shared" si="1"/>
        <v>1.2144685218974649</v>
      </c>
      <c r="J34" s="185">
        <f t="shared" si="2"/>
        <v>3207.4113663312046</v>
      </c>
      <c r="K34" s="186">
        <f t="shared" ref="K34:K93" si="11">+$G34*H34</f>
        <v>3621.8266016325174</v>
      </c>
      <c r="L34" s="187">
        <f t="shared" si="3"/>
        <v>-414.4152353013128</v>
      </c>
      <c r="M34" s="188">
        <f t="shared" si="7"/>
        <v>-33.966683730007944</v>
      </c>
      <c r="N34" s="189">
        <f t="shared" si="8"/>
        <v>-448.38191903132076</v>
      </c>
      <c r="O34" s="188">
        <v>0</v>
      </c>
      <c r="P34" s="188">
        <v>0</v>
      </c>
      <c r="Q34" s="188">
        <v>0</v>
      </c>
      <c r="R34" s="189">
        <f t="shared" si="9"/>
        <v>-448.38191903132076</v>
      </c>
    </row>
    <row r="35" spans="1:18" x14ac:dyDescent="0.25">
      <c r="A35" s="110">
        <v>4</v>
      </c>
      <c r="B35" s="181">
        <f t="shared" si="4"/>
        <v>45017</v>
      </c>
      <c r="C35" s="201">
        <f t="shared" si="10"/>
        <v>45049</v>
      </c>
      <c r="D35" s="201">
        <f t="shared" si="10"/>
        <v>45070</v>
      </c>
      <c r="E35" s="190" t="s">
        <v>22</v>
      </c>
      <c r="F35" s="146">
        <v>9</v>
      </c>
      <c r="G35" s="183">
        <v>2417</v>
      </c>
      <c r="H35" s="184">
        <f t="shared" si="5"/>
        <v>1.371384551924467</v>
      </c>
      <c r="I35" s="184">
        <f t="shared" si="1"/>
        <v>1.2144685218974649</v>
      </c>
      <c r="J35" s="185">
        <f t="shared" si="2"/>
        <v>2935.3704174261725</v>
      </c>
      <c r="K35" s="186">
        <f t="shared" si="11"/>
        <v>3314.6364620014365</v>
      </c>
      <c r="L35" s="187">
        <f t="shared" ref="L35:L57" si="12">+J35-K35</f>
        <v>-379.266044575264</v>
      </c>
      <c r="M35" s="188">
        <f t="shared" si="7"/>
        <v>-31.085753341699807</v>
      </c>
      <c r="N35" s="189">
        <f t="shared" si="8"/>
        <v>-410.35179791696379</v>
      </c>
      <c r="O35" s="188">
        <v>0</v>
      </c>
      <c r="P35" s="188">
        <v>0</v>
      </c>
      <c r="Q35" s="188">
        <v>0</v>
      </c>
      <c r="R35" s="189">
        <f t="shared" si="9"/>
        <v>-410.35179791696379</v>
      </c>
    </row>
    <row r="36" spans="1:18" x14ac:dyDescent="0.25">
      <c r="A36" s="146">
        <v>5</v>
      </c>
      <c r="B36" s="181">
        <f t="shared" si="4"/>
        <v>45047</v>
      </c>
      <c r="C36" s="201">
        <f t="shared" si="10"/>
        <v>45082</v>
      </c>
      <c r="D36" s="201">
        <f t="shared" si="10"/>
        <v>45103</v>
      </c>
      <c r="E36" s="52" t="s">
        <v>22</v>
      </c>
      <c r="F36" s="146">
        <v>9</v>
      </c>
      <c r="G36" s="183">
        <v>2844</v>
      </c>
      <c r="H36" s="184">
        <f t="shared" si="5"/>
        <v>1.371384551924467</v>
      </c>
      <c r="I36" s="184">
        <f t="shared" si="1"/>
        <v>1.2144685218974649</v>
      </c>
      <c r="J36" s="185">
        <f t="shared" si="2"/>
        <v>3453.94847627639</v>
      </c>
      <c r="K36" s="186">
        <f t="shared" si="11"/>
        <v>3900.217665673184</v>
      </c>
      <c r="L36" s="187">
        <f t="shared" si="12"/>
        <v>-446.26918939679399</v>
      </c>
      <c r="M36" s="188">
        <f t="shared" si="7"/>
        <v>-36.577526894412188</v>
      </c>
      <c r="N36" s="189">
        <f t="shared" si="8"/>
        <v>-482.84671629120618</v>
      </c>
      <c r="O36" s="188">
        <v>0</v>
      </c>
      <c r="P36" s="188">
        <v>0</v>
      </c>
      <c r="Q36" s="188">
        <v>0</v>
      </c>
      <c r="R36" s="189">
        <f t="shared" si="9"/>
        <v>-482.84671629120618</v>
      </c>
    </row>
    <row r="37" spans="1:18" x14ac:dyDescent="0.25">
      <c r="A37" s="146">
        <v>6</v>
      </c>
      <c r="B37" s="181">
        <f t="shared" si="4"/>
        <v>45078</v>
      </c>
      <c r="C37" s="201">
        <f t="shared" si="10"/>
        <v>45112</v>
      </c>
      <c r="D37" s="201">
        <f t="shared" si="10"/>
        <v>45131</v>
      </c>
      <c r="E37" s="52" t="s">
        <v>22</v>
      </c>
      <c r="F37" s="146">
        <v>9</v>
      </c>
      <c r="G37" s="183">
        <v>3500</v>
      </c>
      <c r="H37" s="184">
        <f t="shared" si="5"/>
        <v>1.371384551924467</v>
      </c>
      <c r="I37" s="184">
        <f t="shared" si="1"/>
        <v>1.2144685218974649</v>
      </c>
      <c r="J37" s="185">
        <f t="shared" si="2"/>
        <v>4250.639826641127</v>
      </c>
      <c r="K37" s="186">
        <f t="shared" si="11"/>
        <v>4799.8459317356346</v>
      </c>
      <c r="L37" s="191">
        <f t="shared" si="12"/>
        <v>-549.20610509450762</v>
      </c>
      <c r="M37" s="188">
        <f t="shared" si="7"/>
        <v>-45.014537317314577</v>
      </c>
      <c r="N37" s="189">
        <f t="shared" si="8"/>
        <v>-594.22064241182215</v>
      </c>
      <c r="O37" s="188">
        <v>0</v>
      </c>
      <c r="P37" s="188">
        <v>0</v>
      </c>
      <c r="Q37" s="188">
        <v>0</v>
      </c>
      <c r="R37" s="189">
        <f t="shared" si="9"/>
        <v>-594.22064241182215</v>
      </c>
    </row>
    <row r="38" spans="1:18" x14ac:dyDescent="0.25">
      <c r="A38" s="110">
        <v>7</v>
      </c>
      <c r="B38" s="181">
        <f t="shared" si="4"/>
        <v>45108</v>
      </c>
      <c r="C38" s="201">
        <f t="shared" si="10"/>
        <v>45141</v>
      </c>
      <c r="D38" s="201">
        <f t="shared" si="10"/>
        <v>45162</v>
      </c>
      <c r="E38" s="52" t="s">
        <v>22</v>
      </c>
      <c r="F38" s="146">
        <v>9</v>
      </c>
      <c r="G38" s="183">
        <v>3569</v>
      </c>
      <c r="H38" s="184">
        <f t="shared" si="5"/>
        <v>1.371384551924467</v>
      </c>
      <c r="I38" s="184">
        <f t="shared" si="1"/>
        <v>1.2144685218974649</v>
      </c>
      <c r="J38" s="185">
        <f t="shared" si="2"/>
        <v>4334.4381546520526</v>
      </c>
      <c r="K38" s="192">
        <f t="shared" si="11"/>
        <v>4894.471465818423</v>
      </c>
      <c r="L38" s="191">
        <f t="shared" si="12"/>
        <v>-560.03331116637037</v>
      </c>
      <c r="M38" s="188">
        <f t="shared" si="7"/>
        <v>-45.901966767284499</v>
      </c>
      <c r="N38" s="189">
        <f t="shared" si="8"/>
        <v>-605.9352779336549</v>
      </c>
      <c r="O38" s="188">
        <v>0</v>
      </c>
      <c r="P38" s="188">
        <v>0</v>
      </c>
      <c r="Q38" s="188">
        <v>0</v>
      </c>
      <c r="R38" s="189">
        <f t="shared" si="9"/>
        <v>-605.9352779336549</v>
      </c>
    </row>
    <row r="39" spans="1:18" x14ac:dyDescent="0.25">
      <c r="A39" s="146">
        <v>8</v>
      </c>
      <c r="B39" s="181">
        <f t="shared" si="4"/>
        <v>45139</v>
      </c>
      <c r="C39" s="201">
        <f t="shared" si="10"/>
        <v>45174</v>
      </c>
      <c r="D39" s="201">
        <f t="shared" si="10"/>
        <v>45194</v>
      </c>
      <c r="E39" s="52" t="s">
        <v>22</v>
      </c>
      <c r="F39" s="146">
        <v>9</v>
      </c>
      <c r="G39" s="183">
        <v>3766</v>
      </c>
      <c r="H39" s="184">
        <f t="shared" si="5"/>
        <v>1.371384551924467</v>
      </c>
      <c r="I39" s="184">
        <f t="shared" si="1"/>
        <v>1.2144685218974649</v>
      </c>
      <c r="J39" s="185">
        <f t="shared" si="2"/>
        <v>4573.6884534658529</v>
      </c>
      <c r="K39" s="192">
        <f t="shared" si="11"/>
        <v>5164.6342225475428</v>
      </c>
      <c r="L39" s="191">
        <f t="shared" si="12"/>
        <v>-590.94576908168983</v>
      </c>
      <c r="M39" s="188">
        <f t="shared" si="7"/>
        <v>-48.435642153430479</v>
      </c>
      <c r="N39" s="189">
        <f t="shared" si="8"/>
        <v>-639.38141123512037</v>
      </c>
      <c r="O39" s="188">
        <v>0</v>
      </c>
      <c r="P39" s="188">
        <v>0</v>
      </c>
      <c r="Q39" s="188">
        <v>0</v>
      </c>
      <c r="R39" s="189">
        <f t="shared" si="9"/>
        <v>-639.38141123512037</v>
      </c>
    </row>
    <row r="40" spans="1:18" x14ac:dyDescent="0.25">
      <c r="A40" s="146">
        <v>9</v>
      </c>
      <c r="B40" s="181">
        <f t="shared" si="4"/>
        <v>45170</v>
      </c>
      <c r="C40" s="201">
        <f t="shared" si="10"/>
        <v>45203</v>
      </c>
      <c r="D40" s="201">
        <f t="shared" si="10"/>
        <v>45223</v>
      </c>
      <c r="E40" s="52" t="s">
        <v>22</v>
      </c>
      <c r="F40" s="146">
        <v>9</v>
      </c>
      <c r="G40" s="183">
        <v>3456</v>
      </c>
      <c r="H40" s="184">
        <f t="shared" si="5"/>
        <v>1.371384551924467</v>
      </c>
      <c r="I40" s="184">
        <f t="shared" si="1"/>
        <v>1.2144685218974649</v>
      </c>
      <c r="J40" s="185">
        <f t="shared" si="2"/>
        <v>4197.203211677639</v>
      </c>
      <c r="K40" s="192">
        <f t="shared" si="11"/>
        <v>4739.5050114509577</v>
      </c>
      <c r="L40" s="191">
        <f t="shared" si="12"/>
        <v>-542.30179977331863</v>
      </c>
      <c r="M40" s="188">
        <f t="shared" si="7"/>
        <v>-44.448640276754055</v>
      </c>
      <c r="N40" s="189">
        <f t="shared" si="8"/>
        <v>-586.75044005007271</v>
      </c>
      <c r="O40" s="188">
        <v>0</v>
      </c>
      <c r="P40" s="188">
        <v>0</v>
      </c>
      <c r="Q40" s="188">
        <v>0</v>
      </c>
      <c r="R40" s="189">
        <f t="shared" si="9"/>
        <v>-586.75044005007271</v>
      </c>
    </row>
    <row r="41" spans="1:18" x14ac:dyDescent="0.25">
      <c r="A41" s="110">
        <v>10</v>
      </c>
      <c r="B41" s="181">
        <f t="shared" si="4"/>
        <v>45200</v>
      </c>
      <c r="C41" s="201">
        <f t="shared" si="10"/>
        <v>45233</v>
      </c>
      <c r="D41" s="201">
        <f t="shared" si="10"/>
        <v>45254</v>
      </c>
      <c r="E41" s="52" t="s">
        <v>22</v>
      </c>
      <c r="F41" s="146">
        <v>9</v>
      </c>
      <c r="G41" s="183">
        <v>2810</v>
      </c>
      <c r="H41" s="184">
        <f t="shared" si="5"/>
        <v>1.371384551924467</v>
      </c>
      <c r="I41" s="184">
        <f t="shared" si="1"/>
        <v>1.2144685218974649</v>
      </c>
      <c r="J41" s="185">
        <f t="shared" si="2"/>
        <v>3412.6565465318763</v>
      </c>
      <c r="K41" s="192">
        <f t="shared" si="11"/>
        <v>3853.5905909077524</v>
      </c>
      <c r="L41" s="191">
        <f t="shared" si="12"/>
        <v>-440.93404437587606</v>
      </c>
      <c r="M41" s="188">
        <f t="shared" si="7"/>
        <v>-36.140242817615416</v>
      </c>
      <c r="N41" s="189">
        <f t="shared" si="8"/>
        <v>-477.0742871934915</v>
      </c>
      <c r="O41" s="188">
        <v>0</v>
      </c>
      <c r="P41" s="188">
        <v>0</v>
      </c>
      <c r="Q41" s="188">
        <v>0</v>
      </c>
      <c r="R41" s="189">
        <f t="shared" si="9"/>
        <v>-477.0742871934915</v>
      </c>
    </row>
    <row r="42" spans="1:18" x14ac:dyDescent="0.25">
      <c r="A42" s="146">
        <v>11</v>
      </c>
      <c r="B42" s="181">
        <f t="shared" si="4"/>
        <v>45231</v>
      </c>
      <c r="C42" s="201">
        <f t="shared" si="10"/>
        <v>45266</v>
      </c>
      <c r="D42" s="201">
        <f t="shared" si="10"/>
        <v>45285</v>
      </c>
      <c r="E42" s="52" t="s">
        <v>22</v>
      </c>
      <c r="F42" s="146">
        <v>9</v>
      </c>
      <c r="G42" s="183">
        <v>2499</v>
      </c>
      <c r="H42" s="184">
        <f t="shared" si="5"/>
        <v>1.371384551924467</v>
      </c>
      <c r="I42" s="184">
        <f t="shared" si="1"/>
        <v>1.2144685218974649</v>
      </c>
      <c r="J42" s="185">
        <f t="shared" si="2"/>
        <v>3034.9568362217647</v>
      </c>
      <c r="K42" s="192">
        <f t="shared" si="11"/>
        <v>3427.0899952592431</v>
      </c>
      <c r="L42" s="191">
        <f t="shared" si="12"/>
        <v>-392.13315903747844</v>
      </c>
      <c r="M42" s="188">
        <f t="shared" si="7"/>
        <v>-32.140379644562607</v>
      </c>
      <c r="N42" s="189">
        <f t="shared" si="8"/>
        <v>-424.27353868204102</v>
      </c>
      <c r="O42" s="188">
        <v>0</v>
      </c>
      <c r="P42" s="188">
        <v>0</v>
      </c>
      <c r="Q42" s="188">
        <v>0</v>
      </c>
      <c r="R42" s="189">
        <f t="shared" si="9"/>
        <v>-424.27353868204102</v>
      </c>
    </row>
    <row r="43" spans="1:18" x14ac:dyDescent="0.25">
      <c r="A43" s="146">
        <v>12</v>
      </c>
      <c r="B43" s="181">
        <f t="shared" si="4"/>
        <v>45261</v>
      </c>
      <c r="C43" s="201">
        <f t="shared" si="10"/>
        <v>45294</v>
      </c>
      <c r="D43" s="201">
        <f t="shared" si="10"/>
        <v>45315</v>
      </c>
      <c r="E43" s="52" t="s">
        <v>22</v>
      </c>
      <c r="F43" s="146">
        <v>9</v>
      </c>
      <c r="G43" s="183">
        <v>2532</v>
      </c>
      <c r="H43" s="193">
        <f t="shared" si="5"/>
        <v>1.371384551924467</v>
      </c>
      <c r="I43" s="193">
        <f t="shared" si="1"/>
        <v>1.2144685218974649</v>
      </c>
      <c r="J43" s="194">
        <f t="shared" si="2"/>
        <v>3075.0342974443811</v>
      </c>
      <c r="K43" s="195">
        <f t="shared" si="11"/>
        <v>3472.3456854727501</v>
      </c>
      <c r="L43" s="196">
        <f t="shared" si="12"/>
        <v>-397.31138802836904</v>
      </c>
      <c r="M43" s="188">
        <f t="shared" si="7"/>
        <v>-32.564802424983</v>
      </c>
      <c r="N43" s="189">
        <f t="shared" si="8"/>
        <v>-429.87619045335202</v>
      </c>
      <c r="O43" s="188">
        <v>0</v>
      </c>
      <c r="P43" s="188">
        <v>0</v>
      </c>
      <c r="Q43" s="188">
        <v>0</v>
      </c>
      <c r="R43" s="189">
        <f t="shared" si="9"/>
        <v>-429.87619045335202</v>
      </c>
    </row>
    <row r="44" spans="1:18" x14ac:dyDescent="0.25">
      <c r="A44" s="110">
        <v>1</v>
      </c>
      <c r="B44" s="197">
        <f t="shared" ref="B44:B55" si="13">DATE($R$1,A44,1)</f>
        <v>44927</v>
      </c>
      <c r="C44" s="198">
        <f t="shared" ref="C44:D55" si="14">+C32</f>
        <v>44960</v>
      </c>
      <c r="D44" s="198">
        <f t="shared" si="14"/>
        <v>44981</v>
      </c>
      <c r="E44" s="199" t="s">
        <v>83</v>
      </c>
      <c r="F44" s="200">
        <v>9</v>
      </c>
      <c r="G44" s="183">
        <v>137</v>
      </c>
      <c r="H44" s="184">
        <f t="shared" si="5"/>
        <v>1.371384551924467</v>
      </c>
      <c r="I44" s="184">
        <f t="shared" si="1"/>
        <v>1.2144685218974649</v>
      </c>
      <c r="J44" s="188">
        <f t="shared" ref="J44:J55" si="15">+$G44*I44</f>
        <v>166.38218749995269</v>
      </c>
      <c r="K44" s="192">
        <f t="shared" ref="K44:K55" si="16">+$G44*H44</f>
        <v>187.87968361365196</v>
      </c>
      <c r="L44" s="191">
        <f t="shared" ref="L44:L55" si="17">+J44-K44</f>
        <v>-21.49749611369927</v>
      </c>
      <c r="M44" s="188">
        <f t="shared" si="7"/>
        <v>-1.7619976035634561</v>
      </c>
      <c r="N44" s="189">
        <f t="shared" si="8"/>
        <v>-23.259493717262728</v>
      </c>
      <c r="O44" s="188">
        <v>0</v>
      </c>
      <c r="P44" s="188">
        <v>0</v>
      </c>
      <c r="Q44" s="188">
        <v>0</v>
      </c>
      <c r="R44" s="189">
        <f t="shared" si="9"/>
        <v>-23.259493717262728</v>
      </c>
    </row>
    <row r="45" spans="1:18" x14ac:dyDescent="0.25">
      <c r="A45" s="146">
        <v>2</v>
      </c>
      <c r="B45" s="181">
        <f t="shared" si="13"/>
        <v>44958</v>
      </c>
      <c r="C45" s="201">
        <f t="shared" si="14"/>
        <v>44988</v>
      </c>
      <c r="D45" s="201">
        <f t="shared" si="14"/>
        <v>45009</v>
      </c>
      <c r="E45" s="190" t="s">
        <v>83</v>
      </c>
      <c r="F45" s="146">
        <v>9</v>
      </c>
      <c r="G45" s="183">
        <v>132</v>
      </c>
      <c r="H45" s="184">
        <f t="shared" si="5"/>
        <v>1.371384551924467</v>
      </c>
      <c r="I45" s="184">
        <f t="shared" si="1"/>
        <v>1.2144685218974649</v>
      </c>
      <c r="J45" s="188">
        <f t="shared" si="15"/>
        <v>160.30984489046537</v>
      </c>
      <c r="K45" s="192">
        <f t="shared" si="16"/>
        <v>181.02276085402963</v>
      </c>
      <c r="L45" s="191">
        <f t="shared" si="17"/>
        <v>-20.712915963564257</v>
      </c>
      <c r="M45" s="188">
        <f t="shared" si="7"/>
        <v>-1.6976911216815784</v>
      </c>
      <c r="N45" s="189">
        <f t="shared" si="8"/>
        <v>-22.410607085245836</v>
      </c>
      <c r="O45" s="188">
        <v>0</v>
      </c>
      <c r="P45" s="188">
        <v>0</v>
      </c>
      <c r="Q45" s="188">
        <v>0</v>
      </c>
      <c r="R45" s="189">
        <f t="shared" si="9"/>
        <v>-22.410607085245836</v>
      </c>
    </row>
    <row r="46" spans="1:18" x14ac:dyDescent="0.25">
      <c r="A46" s="146">
        <v>3</v>
      </c>
      <c r="B46" s="181">
        <f t="shared" si="13"/>
        <v>44986</v>
      </c>
      <c r="C46" s="201">
        <f t="shared" si="14"/>
        <v>45021</v>
      </c>
      <c r="D46" s="201">
        <f t="shared" si="14"/>
        <v>45040</v>
      </c>
      <c r="E46" s="190" t="s">
        <v>83</v>
      </c>
      <c r="F46" s="146">
        <v>9</v>
      </c>
      <c r="G46" s="183">
        <v>148</v>
      </c>
      <c r="H46" s="184">
        <f t="shared" si="5"/>
        <v>1.371384551924467</v>
      </c>
      <c r="I46" s="184">
        <f t="shared" si="1"/>
        <v>1.2144685218974649</v>
      </c>
      <c r="J46" s="188">
        <f t="shared" si="15"/>
        <v>179.7413412408248</v>
      </c>
      <c r="K46" s="192">
        <f t="shared" si="16"/>
        <v>202.96491368482111</v>
      </c>
      <c r="L46" s="191">
        <f t="shared" si="17"/>
        <v>-23.223572443996318</v>
      </c>
      <c r="M46" s="188">
        <f t="shared" si="7"/>
        <v>-1.9034718637035877</v>
      </c>
      <c r="N46" s="189">
        <f t="shared" si="8"/>
        <v>-25.127044307699904</v>
      </c>
      <c r="O46" s="188">
        <v>0</v>
      </c>
      <c r="P46" s="188">
        <v>0</v>
      </c>
      <c r="Q46" s="188">
        <v>0</v>
      </c>
      <c r="R46" s="189">
        <f t="shared" si="9"/>
        <v>-25.127044307699904</v>
      </c>
    </row>
    <row r="47" spans="1:18" x14ac:dyDescent="0.25">
      <c r="A47" s="110">
        <v>4</v>
      </c>
      <c r="B47" s="181">
        <f t="shared" si="13"/>
        <v>45017</v>
      </c>
      <c r="C47" s="201">
        <f t="shared" si="14"/>
        <v>45049</v>
      </c>
      <c r="D47" s="201">
        <f t="shared" si="14"/>
        <v>45070</v>
      </c>
      <c r="E47" s="190" t="s">
        <v>83</v>
      </c>
      <c r="F47" s="146">
        <v>9</v>
      </c>
      <c r="G47" s="183">
        <v>92</v>
      </c>
      <c r="H47" s="184">
        <f t="shared" si="5"/>
        <v>1.371384551924467</v>
      </c>
      <c r="I47" s="184">
        <f t="shared" si="1"/>
        <v>1.2144685218974649</v>
      </c>
      <c r="J47" s="188">
        <f t="shared" si="15"/>
        <v>111.73110401456677</v>
      </c>
      <c r="K47" s="192">
        <f t="shared" si="16"/>
        <v>126.16737877705096</v>
      </c>
      <c r="L47" s="191">
        <f t="shared" si="17"/>
        <v>-14.436274762484189</v>
      </c>
      <c r="M47" s="188">
        <f t="shared" si="7"/>
        <v>-1.1832392666265545</v>
      </c>
      <c r="N47" s="189">
        <f t="shared" si="8"/>
        <v>-15.619514029110743</v>
      </c>
      <c r="O47" s="188">
        <v>0</v>
      </c>
      <c r="P47" s="188">
        <v>0</v>
      </c>
      <c r="Q47" s="188">
        <v>0</v>
      </c>
      <c r="R47" s="189">
        <f t="shared" si="9"/>
        <v>-15.619514029110743</v>
      </c>
    </row>
    <row r="48" spans="1:18" x14ac:dyDescent="0.25">
      <c r="A48" s="146">
        <v>5</v>
      </c>
      <c r="B48" s="181">
        <f t="shared" si="13"/>
        <v>45047</v>
      </c>
      <c r="C48" s="201">
        <f t="shared" si="14"/>
        <v>45082</v>
      </c>
      <c r="D48" s="201">
        <f t="shared" si="14"/>
        <v>45103</v>
      </c>
      <c r="E48" s="190" t="s">
        <v>83</v>
      </c>
      <c r="F48" s="146">
        <v>9</v>
      </c>
      <c r="G48" s="183">
        <v>104</v>
      </c>
      <c r="H48" s="184">
        <f t="shared" si="5"/>
        <v>1.371384551924467</v>
      </c>
      <c r="I48" s="184">
        <f t="shared" si="1"/>
        <v>1.2144685218974649</v>
      </c>
      <c r="J48" s="188">
        <f t="shared" si="15"/>
        <v>126.30472627733636</v>
      </c>
      <c r="K48" s="192">
        <f t="shared" si="16"/>
        <v>142.62399340014457</v>
      </c>
      <c r="L48" s="191">
        <f t="shared" si="17"/>
        <v>-16.319267122808213</v>
      </c>
      <c r="M48" s="188">
        <f t="shared" si="7"/>
        <v>-1.3375748231430615</v>
      </c>
      <c r="N48" s="189">
        <f t="shared" si="8"/>
        <v>-17.656841945951275</v>
      </c>
      <c r="O48" s="188">
        <v>0</v>
      </c>
      <c r="P48" s="188">
        <v>0</v>
      </c>
      <c r="Q48" s="188">
        <v>0</v>
      </c>
      <c r="R48" s="189">
        <f t="shared" si="9"/>
        <v>-17.656841945951275</v>
      </c>
    </row>
    <row r="49" spans="1:18" x14ac:dyDescent="0.25">
      <c r="A49" s="146">
        <v>6</v>
      </c>
      <c r="B49" s="181">
        <f t="shared" si="13"/>
        <v>45078</v>
      </c>
      <c r="C49" s="201">
        <f t="shared" si="14"/>
        <v>45112</v>
      </c>
      <c r="D49" s="201">
        <f t="shared" si="14"/>
        <v>45131</v>
      </c>
      <c r="E49" s="190" t="s">
        <v>83</v>
      </c>
      <c r="F49" s="146">
        <v>9</v>
      </c>
      <c r="G49" s="183">
        <v>156</v>
      </c>
      <c r="H49" s="184">
        <f t="shared" si="5"/>
        <v>1.371384551924467</v>
      </c>
      <c r="I49" s="184">
        <f t="shared" si="1"/>
        <v>1.2144685218974649</v>
      </c>
      <c r="J49" s="188">
        <f t="shared" si="15"/>
        <v>189.45708941600452</v>
      </c>
      <c r="K49" s="192">
        <f t="shared" si="16"/>
        <v>213.93599010021686</v>
      </c>
      <c r="L49" s="191">
        <f t="shared" si="17"/>
        <v>-24.478900684212334</v>
      </c>
      <c r="M49" s="188">
        <f t="shared" si="7"/>
        <v>-2.0063622347145929</v>
      </c>
      <c r="N49" s="189">
        <f t="shared" si="8"/>
        <v>-26.485262918926928</v>
      </c>
      <c r="O49" s="188">
        <v>0</v>
      </c>
      <c r="P49" s="188">
        <v>0</v>
      </c>
      <c r="Q49" s="188">
        <v>0</v>
      </c>
      <c r="R49" s="189">
        <f t="shared" si="9"/>
        <v>-26.485262918926928</v>
      </c>
    </row>
    <row r="50" spans="1:18" x14ac:dyDescent="0.25">
      <c r="A50" s="110">
        <v>7</v>
      </c>
      <c r="B50" s="181">
        <f t="shared" si="13"/>
        <v>45108</v>
      </c>
      <c r="C50" s="201">
        <f t="shared" si="14"/>
        <v>45141</v>
      </c>
      <c r="D50" s="201">
        <f t="shared" si="14"/>
        <v>45162</v>
      </c>
      <c r="E50" s="190" t="s">
        <v>83</v>
      </c>
      <c r="F50" s="146">
        <v>9</v>
      </c>
      <c r="G50" s="183">
        <v>155</v>
      </c>
      <c r="H50" s="184">
        <f t="shared" si="5"/>
        <v>1.371384551924467</v>
      </c>
      <c r="I50" s="184">
        <f t="shared" si="1"/>
        <v>1.2144685218974649</v>
      </c>
      <c r="J50" s="188">
        <f t="shared" si="15"/>
        <v>188.24262089410706</v>
      </c>
      <c r="K50" s="192">
        <f t="shared" si="16"/>
        <v>212.56460554829238</v>
      </c>
      <c r="L50" s="191">
        <f t="shared" si="17"/>
        <v>-24.321984654185314</v>
      </c>
      <c r="M50" s="188">
        <f t="shared" si="7"/>
        <v>-1.993500938338217</v>
      </c>
      <c r="N50" s="189">
        <f t="shared" si="8"/>
        <v>-26.31548559252353</v>
      </c>
      <c r="O50" s="188">
        <v>0</v>
      </c>
      <c r="P50" s="188">
        <v>0</v>
      </c>
      <c r="Q50" s="188">
        <v>0</v>
      </c>
      <c r="R50" s="189">
        <f t="shared" si="9"/>
        <v>-26.31548559252353</v>
      </c>
    </row>
    <row r="51" spans="1:18" x14ac:dyDescent="0.25">
      <c r="A51" s="146">
        <v>8</v>
      </c>
      <c r="B51" s="181">
        <f t="shared" si="13"/>
        <v>45139</v>
      </c>
      <c r="C51" s="201">
        <f t="shared" si="14"/>
        <v>45174</v>
      </c>
      <c r="D51" s="201">
        <f t="shared" si="14"/>
        <v>45194</v>
      </c>
      <c r="E51" s="190" t="s">
        <v>83</v>
      </c>
      <c r="F51" s="146">
        <v>9</v>
      </c>
      <c r="G51" s="183">
        <v>159</v>
      </c>
      <c r="H51" s="184">
        <f t="shared" si="5"/>
        <v>1.371384551924467</v>
      </c>
      <c r="I51" s="184">
        <f t="shared" si="1"/>
        <v>1.2144685218974649</v>
      </c>
      <c r="J51" s="188">
        <f t="shared" si="15"/>
        <v>193.10049498169693</v>
      </c>
      <c r="K51" s="192">
        <f t="shared" si="16"/>
        <v>218.05014375599023</v>
      </c>
      <c r="L51" s="191">
        <f t="shared" si="17"/>
        <v>-24.949648774293308</v>
      </c>
      <c r="M51" s="188">
        <f t="shared" si="7"/>
        <v>-2.0449461238437192</v>
      </c>
      <c r="N51" s="189">
        <f t="shared" si="8"/>
        <v>-26.994594898137027</v>
      </c>
      <c r="O51" s="188">
        <v>0</v>
      </c>
      <c r="P51" s="188">
        <v>0</v>
      </c>
      <c r="Q51" s="188">
        <v>0</v>
      </c>
      <c r="R51" s="189">
        <f t="shared" si="9"/>
        <v>-26.994594898137027</v>
      </c>
    </row>
    <row r="52" spans="1:18" x14ac:dyDescent="0.25">
      <c r="A52" s="146">
        <v>9</v>
      </c>
      <c r="B52" s="181">
        <f t="shared" si="13"/>
        <v>45170</v>
      </c>
      <c r="C52" s="201">
        <f t="shared" si="14"/>
        <v>45203</v>
      </c>
      <c r="D52" s="201">
        <f t="shared" si="14"/>
        <v>45223</v>
      </c>
      <c r="E52" s="190" t="s">
        <v>83</v>
      </c>
      <c r="F52" s="146">
        <v>9</v>
      </c>
      <c r="G52" s="183">
        <v>144</v>
      </c>
      <c r="H52" s="184">
        <f t="shared" si="5"/>
        <v>1.371384551924467</v>
      </c>
      <c r="I52" s="184">
        <f t="shared" si="1"/>
        <v>1.2144685218974649</v>
      </c>
      <c r="J52" s="188">
        <f t="shared" si="15"/>
        <v>174.88346715323496</v>
      </c>
      <c r="K52" s="192">
        <f t="shared" si="16"/>
        <v>197.47937547712326</v>
      </c>
      <c r="L52" s="191">
        <f t="shared" si="17"/>
        <v>-22.595908323888295</v>
      </c>
      <c r="M52" s="188">
        <f t="shared" si="7"/>
        <v>-1.8520266781980854</v>
      </c>
      <c r="N52" s="189">
        <f t="shared" si="8"/>
        <v>-24.447935002086382</v>
      </c>
      <c r="O52" s="188">
        <v>0</v>
      </c>
      <c r="P52" s="188">
        <v>0</v>
      </c>
      <c r="Q52" s="188">
        <v>0</v>
      </c>
      <c r="R52" s="189">
        <f t="shared" si="9"/>
        <v>-24.447935002086382</v>
      </c>
    </row>
    <row r="53" spans="1:18" x14ac:dyDescent="0.25">
      <c r="A53" s="110">
        <v>10</v>
      </c>
      <c r="B53" s="181">
        <f t="shared" si="13"/>
        <v>45200</v>
      </c>
      <c r="C53" s="201">
        <f t="shared" si="14"/>
        <v>45233</v>
      </c>
      <c r="D53" s="201">
        <f t="shared" si="14"/>
        <v>45254</v>
      </c>
      <c r="E53" s="190" t="s">
        <v>83</v>
      </c>
      <c r="F53" s="146">
        <v>9</v>
      </c>
      <c r="G53" s="183">
        <v>117</v>
      </c>
      <c r="H53" s="184">
        <f t="shared" si="5"/>
        <v>1.371384551924467</v>
      </c>
      <c r="I53" s="184">
        <f t="shared" si="1"/>
        <v>1.2144685218974649</v>
      </c>
      <c r="J53" s="188">
        <f t="shared" si="15"/>
        <v>142.09281706200341</v>
      </c>
      <c r="K53" s="192">
        <f t="shared" si="16"/>
        <v>160.45199257516262</v>
      </c>
      <c r="L53" s="191">
        <f t="shared" si="17"/>
        <v>-18.359175513159215</v>
      </c>
      <c r="M53" s="188">
        <f t="shared" si="7"/>
        <v>-1.5047716760359446</v>
      </c>
      <c r="N53" s="189">
        <f t="shared" si="8"/>
        <v>-19.863947189195159</v>
      </c>
      <c r="O53" s="188">
        <v>0</v>
      </c>
      <c r="P53" s="188">
        <v>0</v>
      </c>
      <c r="Q53" s="188">
        <v>0</v>
      </c>
      <c r="R53" s="189">
        <f t="shared" si="9"/>
        <v>-19.863947189195159</v>
      </c>
    </row>
    <row r="54" spans="1:18" x14ac:dyDescent="0.25">
      <c r="A54" s="146">
        <v>11</v>
      </c>
      <c r="B54" s="181">
        <f t="shared" si="13"/>
        <v>45231</v>
      </c>
      <c r="C54" s="201">
        <f t="shared" si="14"/>
        <v>45266</v>
      </c>
      <c r="D54" s="201">
        <f t="shared" si="14"/>
        <v>45285</v>
      </c>
      <c r="E54" s="190" t="s">
        <v>83</v>
      </c>
      <c r="F54" s="146">
        <v>9</v>
      </c>
      <c r="G54" s="183">
        <v>134</v>
      </c>
      <c r="H54" s="184">
        <f t="shared" si="5"/>
        <v>1.371384551924467</v>
      </c>
      <c r="I54" s="184">
        <f t="shared" si="1"/>
        <v>1.2144685218974649</v>
      </c>
      <c r="J54" s="188">
        <f t="shared" si="15"/>
        <v>162.73878193426029</v>
      </c>
      <c r="K54" s="192">
        <f t="shared" si="16"/>
        <v>183.76552995787858</v>
      </c>
      <c r="L54" s="191">
        <f t="shared" si="17"/>
        <v>-21.026748023618296</v>
      </c>
      <c r="M54" s="188">
        <f t="shared" si="7"/>
        <v>-1.7234137144343296</v>
      </c>
      <c r="N54" s="189">
        <f t="shared" si="8"/>
        <v>-22.750161738052626</v>
      </c>
      <c r="O54" s="188">
        <v>0</v>
      </c>
      <c r="P54" s="188">
        <v>0</v>
      </c>
      <c r="Q54" s="188">
        <v>0</v>
      </c>
      <c r="R54" s="189">
        <f t="shared" si="9"/>
        <v>-22.750161738052626</v>
      </c>
    </row>
    <row r="55" spans="1:18" x14ac:dyDescent="0.25">
      <c r="A55" s="146">
        <v>12</v>
      </c>
      <c r="B55" s="181">
        <f t="shared" si="13"/>
        <v>45261</v>
      </c>
      <c r="C55" s="201">
        <f t="shared" si="14"/>
        <v>45294</v>
      </c>
      <c r="D55" s="201">
        <f t="shared" si="14"/>
        <v>45315</v>
      </c>
      <c r="E55" s="190" t="s">
        <v>83</v>
      </c>
      <c r="F55" s="146">
        <v>9</v>
      </c>
      <c r="G55" s="183">
        <v>145</v>
      </c>
      <c r="H55" s="193">
        <f t="shared" si="5"/>
        <v>1.371384551924467</v>
      </c>
      <c r="I55" s="193">
        <f t="shared" si="1"/>
        <v>1.2144685218974649</v>
      </c>
      <c r="J55" s="194">
        <f t="shared" si="15"/>
        <v>176.09793567513242</v>
      </c>
      <c r="K55" s="195">
        <f t="shared" si="16"/>
        <v>198.85076002904771</v>
      </c>
      <c r="L55" s="196">
        <f t="shared" si="17"/>
        <v>-22.752824353915287</v>
      </c>
      <c r="M55" s="188">
        <f t="shared" si="7"/>
        <v>-1.8648879745744611</v>
      </c>
      <c r="N55" s="189">
        <f t="shared" si="8"/>
        <v>-24.617712328489748</v>
      </c>
      <c r="O55" s="188">
        <v>0</v>
      </c>
      <c r="P55" s="188">
        <v>0</v>
      </c>
      <c r="Q55" s="188">
        <v>0</v>
      </c>
      <c r="R55" s="189">
        <f t="shared" si="9"/>
        <v>-24.617712328489748</v>
      </c>
    </row>
    <row r="56" spans="1:18" s="202" customFormat="1" x14ac:dyDescent="0.25">
      <c r="A56" s="110">
        <v>1</v>
      </c>
      <c r="B56" s="197">
        <f t="shared" si="4"/>
        <v>44927</v>
      </c>
      <c r="C56" s="198">
        <f t="shared" ref="C56:D67" si="18">+C32</f>
        <v>44960</v>
      </c>
      <c r="D56" s="198">
        <f t="shared" si="18"/>
        <v>44981</v>
      </c>
      <c r="E56" s="199" t="s">
        <v>14</v>
      </c>
      <c r="F56" s="200">
        <v>9</v>
      </c>
      <c r="G56" s="183">
        <v>828</v>
      </c>
      <c r="H56" s="184">
        <f t="shared" si="5"/>
        <v>1.371384551924467</v>
      </c>
      <c r="I56" s="184">
        <f t="shared" si="1"/>
        <v>1.2144685218974649</v>
      </c>
      <c r="J56" s="185">
        <f t="shared" si="2"/>
        <v>1005.5799361311009</v>
      </c>
      <c r="K56" s="186">
        <f t="shared" si="11"/>
        <v>1135.5064089934585</v>
      </c>
      <c r="L56" s="187">
        <f t="shared" si="12"/>
        <v>-129.92647286235763</v>
      </c>
      <c r="M56" s="188">
        <f t="shared" si="7"/>
        <v>-10.649153399638992</v>
      </c>
      <c r="N56" s="189">
        <f t="shared" si="8"/>
        <v>-140.57562626199663</v>
      </c>
      <c r="O56" s="188">
        <v>0</v>
      </c>
      <c r="P56" s="188">
        <v>0</v>
      </c>
      <c r="Q56" s="188">
        <v>0</v>
      </c>
      <c r="R56" s="189">
        <f t="shared" si="9"/>
        <v>-140.57562626199663</v>
      </c>
    </row>
    <row r="57" spans="1:18" x14ac:dyDescent="0.25">
      <c r="A57" s="146">
        <v>2</v>
      </c>
      <c r="B57" s="181">
        <f t="shared" si="4"/>
        <v>44958</v>
      </c>
      <c r="C57" s="201">
        <f t="shared" si="18"/>
        <v>44988</v>
      </c>
      <c r="D57" s="201">
        <f t="shared" si="18"/>
        <v>45009</v>
      </c>
      <c r="E57" s="190" t="s">
        <v>14</v>
      </c>
      <c r="F57" s="146">
        <v>9</v>
      </c>
      <c r="G57" s="183">
        <v>786</v>
      </c>
      <c r="H57" s="184">
        <f t="shared" si="5"/>
        <v>1.371384551924467</v>
      </c>
      <c r="I57" s="184">
        <f t="shared" si="1"/>
        <v>1.2144685218974649</v>
      </c>
      <c r="J57" s="185">
        <f t="shared" si="2"/>
        <v>954.57225821140742</v>
      </c>
      <c r="K57" s="186">
        <f t="shared" si="11"/>
        <v>1077.9082578126311</v>
      </c>
      <c r="L57" s="187">
        <f t="shared" si="12"/>
        <v>-123.33599960122365</v>
      </c>
      <c r="M57" s="188">
        <f t="shared" si="7"/>
        <v>-10.108978951831217</v>
      </c>
      <c r="N57" s="189">
        <f t="shared" si="8"/>
        <v>-133.44497855305485</v>
      </c>
      <c r="O57" s="188">
        <v>0</v>
      </c>
      <c r="P57" s="188">
        <v>0</v>
      </c>
      <c r="Q57" s="188">
        <v>0</v>
      </c>
      <c r="R57" s="189">
        <f t="shared" si="9"/>
        <v>-133.44497855305485</v>
      </c>
    </row>
    <row r="58" spans="1:18" x14ac:dyDescent="0.25">
      <c r="A58" s="146">
        <v>3</v>
      </c>
      <c r="B58" s="181">
        <f t="shared" si="4"/>
        <v>44986</v>
      </c>
      <c r="C58" s="201">
        <f t="shared" si="18"/>
        <v>45021</v>
      </c>
      <c r="D58" s="201">
        <f t="shared" si="18"/>
        <v>45040</v>
      </c>
      <c r="E58" s="190" t="s">
        <v>14</v>
      </c>
      <c r="F58" s="146">
        <v>9</v>
      </c>
      <c r="G58" s="183">
        <v>702</v>
      </c>
      <c r="H58" s="184">
        <f t="shared" si="5"/>
        <v>1.371384551924467</v>
      </c>
      <c r="I58" s="184">
        <f t="shared" si="1"/>
        <v>1.2144685218974649</v>
      </c>
      <c r="J58" s="185">
        <f t="shared" si="2"/>
        <v>852.55690237202032</v>
      </c>
      <c r="K58" s="186">
        <f t="shared" si="11"/>
        <v>962.71195545097578</v>
      </c>
      <c r="L58" s="187">
        <f>+J58-K58</f>
        <v>-110.15505307895546</v>
      </c>
      <c r="M58" s="188">
        <f t="shared" si="7"/>
        <v>-9.0286300562156665</v>
      </c>
      <c r="N58" s="189">
        <f t="shared" si="8"/>
        <v>-119.18368313517112</v>
      </c>
      <c r="O58" s="188">
        <v>0</v>
      </c>
      <c r="P58" s="188">
        <v>0</v>
      </c>
      <c r="Q58" s="188">
        <v>0</v>
      </c>
      <c r="R58" s="189">
        <f t="shared" si="9"/>
        <v>-119.18368313517112</v>
      </c>
    </row>
    <row r="59" spans="1:18" x14ac:dyDescent="0.25">
      <c r="A59" s="110">
        <v>4</v>
      </c>
      <c r="B59" s="181">
        <f t="shared" si="4"/>
        <v>45017</v>
      </c>
      <c r="C59" s="201">
        <f t="shared" si="18"/>
        <v>45049</v>
      </c>
      <c r="D59" s="201">
        <f t="shared" si="18"/>
        <v>45070</v>
      </c>
      <c r="E59" s="190" t="s">
        <v>14</v>
      </c>
      <c r="F59" s="146">
        <v>9</v>
      </c>
      <c r="G59" s="183">
        <v>519</v>
      </c>
      <c r="H59" s="184">
        <f t="shared" si="5"/>
        <v>1.371384551924467</v>
      </c>
      <c r="I59" s="184">
        <f t="shared" si="1"/>
        <v>1.2144685218974649</v>
      </c>
      <c r="J59" s="185">
        <f t="shared" si="2"/>
        <v>630.3091628647843</v>
      </c>
      <c r="K59" s="186">
        <f t="shared" si="11"/>
        <v>711.7485824487984</v>
      </c>
      <c r="L59" s="187">
        <f t="shared" ref="L59:L81" si="19">+J59-K59</f>
        <v>-81.439419584014104</v>
      </c>
      <c r="M59" s="188">
        <f t="shared" si="7"/>
        <v>-6.6750128193389324</v>
      </c>
      <c r="N59" s="189">
        <f t="shared" si="8"/>
        <v>-88.114432403353035</v>
      </c>
      <c r="O59" s="188">
        <v>0</v>
      </c>
      <c r="P59" s="188">
        <v>0</v>
      </c>
      <c r="Q59" s="188">
        <v>0</v>
      </c>
      <c r="R59" s="189">
        <f t="shared" si="9"/>
        <v>-88.114432403353035</v>
      </c>
    </row>
    <row r="60" spans="1:18" x14ac:dyDescent="0.25">
      <c r="A60" s="146">
        <v>5</v>
      </c>
      <c r="B60" s="181">
        <f t="shared" si="4"/>
        <v>45047</v>
      </c>
      <c r="C60" s="201">
        <f t="shared" si="18"/>
        <v>45082</v>
      </c>
      <c r="D60" s="201">
        <f t="shared" si="18"/>
        <v>45103</v>
      </c>
      <c r="E60" s="52" t="s">
        <v>14</v>
      </c>
      <c r="F60" s="146">
        <v>9</v>
      </c>
      <c r="G60" s="183">
        <v>720</v>
      </c>
      <c r="H60" s="184">
        <f t="shared" si="5"/>
        <v>1.371384551924467</v>
      </c>
      <c r="I60" s="184">
        <f t="shared" si="1"/>
        <v>1.2144685218974649</v>
      </c>
      <c r="J60" s="185">
        <f t="shared" si="2"/>
        <v>874.41733576617469</v>
      </c>
      <c r="K60" s="186">
        <f t="shared" si="11"/>
        <v>987.39687738561622</v>
      </c>
      <c r="L60" s="187">
        <f t="shared" si="19"/>
        <v>-112.97954161944153</v>
      </c>
      <c r="M60" s="188">
        <f t="shared" si="7"/>
        <v>-9.2601333909904273</v>
      </c>
      <c r="N60" s="189">
        <f t="shared" si="8"/>
        <v>-122.23967501043197</v>
      </c>
      <c r="O60" s="188">
        <v>0</v>
      </c>
      <c r="P60" s="188">
        <v>0</v>
      </c>
      <c r="Q60" s="188">
        <v>0</v>
      </c>
      <c r="R60" s="189">
        <f t="shared" si="9"/>
        <v>-122.23967501043197</v>
      </c>
    </row>
    <row r="61" spans="1:18" x14ac:dyDescent="0.25">
      <c r="A61" s="146">
        <v>6</v>
      </c>
      <c r="B61" s="181">
        <f t="shared" si="4"/>
        <v>45078</v>
      </c>
      <c r="C61" s="201">
        <f t="shared" si="18"/>
        <v>45112</v>
      </c>
      <c r="D61" s="201">
        <f t="shared" si="18"/>
        <v>45131</v>
      </c>
      <c r="E61" s="52" t="s">
        <v>14</v>
      </c>
      <c r="F61" s="146">
        <v>9</v>
      </c>
      <c r="G61" s="183">
        <v>975</v>
      </c>
      <c r="H61" s="184">
        <f t="shared" si="5"/>
        <v>1.371384551924467</v>
      </c>
      <c r="I61" s="184">
        <f t="shared" si="1"/>
        <v>1.2144685218974649</v>
      </c>
      <c r="J61" s="185">
        <f t="shared" si="2"/>
        <v>1184.1068088500283</v>
      </c>
      <c r="K61" s="186">
        <f t="shared" si="11"/>
        <v>1337.0999381263553</v>
      </c>
      <c r="L61" s="191">
        <f t="shared" si="19"/>
        <v>-152.99312927632695</v>
      </c>
      <c r="M61" s="188">
        <f t="shared" si="7"/>
        <v>-12.539763966966204</v>
      </c>
      <c r="N61" s="189">
        <f t="shared" si="8"/>
        <v>-165.53289324329316</v>
      </c>
      <c r="O61" s="188">
        <v>0</v>
      </c>
      <c r="P61" s="188">
        <v>0</v>
      </c>
      <c r="Q61" s="188">
        <v>0</v>
      </c>
      <c r="R61" s="189">
        <f t="shared" si="9"/>
        <v>-165.53289324329316</v>
      </c>
    </row>
    <row r="62" spans="1:18" x14ac:dyDescent="0.25">
      <c r="A62" s="110">
        <v>7</v>
      </c>
      <c r="B62" s="181">
        <f t="shared" si="4"/>
        <v>45108</v>
      </c>
      <c r="C62" s="201">
        <f t="shared" si="18"/>
        <v>45141</v>
      </c>
      <c r="D62" s="201">
        <f t="shared" si="18"/>
        <v>45162</v>
      </c>
      <c r="E62" s="52" t="s">
        <v>14</v>
      </c>
      <c r="F62" s="146">
        <v>9</v>
      </c>
      <c r="G62" s="183">
        <v>924</v>
      </c>
      <c r="H62" s="184">
        <f t="shared" si="5"/>
        <v>1.371384551924467</v>
      </c>
      <c r="I62" s="184">
        <f t="shared" si="1"/>
        <v>1.2144685218974649</v>
      </c>
      <c r="J62" s="185">
        <f t="shared" si="2"/>
        <v>1122.1689142332575</v>
      </c>
      <c r="K62" s="192">
        <f t="shared" si="11"/>
        <v>1267.1593259782076</v>
      </c>
      <c r="L62" s="191">
        <f t="shared" si="19"/>
        <v>-144.99041174495005</v>
      </c>
      <c r="M62" s="188">
        <f t="shared" si="7"/>
        <v>-11.883837851771048</v>
      </c>
      <c r="N62" s="189">
        <f t="shared" si="8"/>
        <v>-156.87424959672109</v>
      </c>
      <c r="O62" s="188">
        <v>0</v>
      </c>
      <c r="P62" s="188">
        <v>0</v>
      </c>
      <c r="Q62" s="188">
        <v>0</v>
      </c>
      <c r="R62" s="189">
        <f t="shared" si="9"/>
        <v>-156.87424959672109</v>
      </c>
    </row>
    <row r="63" spans="1:18" x14ac:dyDescent="0.25">
      <c r="A63" s="146">
        <v>8</v>
      </c>
      <c r="B63" s="181">
        <f t="shared" si="4"/>
        <v>45139</v>
      </c>
      <c r="C63" s="201">
        <f t="shared" si="18"/>
        <v>45174</v>
      </c>
      <c r="D63" s="201">
        <f t="shared" si="18"/>
        <v>45194</v>
      </c>
      <c r="E63" s="52" t="s">
        <v>14</v>
      </c>
      <c r="F63" s="146">
        <v>9</v>
      </c>
      <c r="G63" s="183">
        <v>1053</v>
      </c>
      <c r="H63" s="184">
        <f t="shared" si="5"/>
        <v>1.371384551924467</v>
      </c>
      <c r="I63" s="184">
        <f t="shared" si="1"/>
        <v>1.2144685218974649</v>
      </c>
      <c r="J63" s="185">
        <f t="shared" si="2"/>
        <v>1278.8353535580306</v>
      </c>
      <c r="K63" s="192">
        <f t="shared" si="11"/>
        <v>1444.0679331764636</v>
      </c>
      <c r="L63" s="191">
        <f t="shared" si="19"/>
        <v>-165.23257961843296</v>
      </c>
      <c r="M63" s="188">
        <f t="shared" si="7"/>
        <v>-13.542945084323501</v>
      </c>
      <c r="N63" s="189">
        <f t="shared" si="8"/>
        <v>-178.77552470275646</v>
      </c>
      <c r="O63" s="188">
        <v>0</v>
      </c>
      <c r="P63" s="188">
        <v>0</v>
      </c>
      <c r="Q63" s="188">
        <v>0</v>
      </c>
      <c r="R63" s="189">
        <f t="shared" si="9"/>
        <v>-178.77552470275646</v>
      </c>
    </row>
    <row r="64" spans="1:18" x14ac:dyDescent="0.25">
      <c r="A64" s="146">
        <v>9</v>
      </c>
      <c r="B64" s="181">
        <f t="shared" si="4"/>
        <v>45170</v>
      </c>
      <c r="C64" s="201">
        <f t="shared" si="18"/>
        <v>45203</v>
      </c>
      <c r="D64" s="201">
        <f t="shared" si="18"/>
        <v>45223</v>
      </c>
      <c r="E64" s="52" t="s">
        <v>14</v>
      </c>
      <c r="F64" s="146">
        <v>9</v>
      </c>
      <c r="G64" s="183">
        <v>905</v>
      </c>
      <c r="H64" s="184">
        <f t="shared" si="5"/>
        <v>1.371384551924467</v>
      </c>
      <c r="I64" s="184">
        <f t="shared" ref="I64:I107" si="20">$J$3</f>
        <v>1.2144685218974649</v>
      </c>
      <c r="J64" s="185">
        <f t="shared" si="2"/>
        <v>1099.0940123172056</v>
      </c>
      <c r="K64" s="192">
        <f t="shared" si="11"/>
        <v>1241.1030194916425</v>
      </c>
      <c r="L64" s="191">
        <f t="shared" si="19"/>
        <v>-142.00900717443687</v>
      </c>
      <c r="M64" s="188">
        <f t="shared" si="7"/>
        <v>-11.639473220619912</v>
      </c>
      <c r="N64" s="189">
        <f t="shared" si="8"/>
        <v>-153.64848039505679</v>
      </c>
      <c r="O64" s="188">
        <v>0</v>
      </c>
      <c r="P64" s="188">
        <v>0</v>
      </c>
      <c r="Q64" s="188">
        <v>0</v>
      </c>
      <c r="R64" s="189">
        <f t="shared" si="9"/>
        <v>-153.64848039505679</v>
      </c>
    </row>
    <row r="65" spans="1:18" x14ac:dyDescent="0.25">
      <c r="A65" s="110">
        <v>10</v>
      </c>
      <c r="B65" s="181">
        <f t="shared" si="4"/>
        <v>45200</v>
      </c>
      <c r="C65" s="201">
        <f t="shared" si="18"/>
        <v>45233</v>
      </c>
      <c r="D65" s="201">
        <f t="shared" si="18"/>
        <v>45254</v>
      </c>
      <c r="E65" s="52" t="s">
        <v>14</v>
      </c>
      <c r="F65" s="146">
        <v>9</v>
      </c>
      <c r="G65" s="183">
        <v>694</v>
      </c>
      <c r="H65" s="184">
        <f t="shared" si="5"/>
        <v>1.371384551924467</v>
      </c>
      <c r="I65" s="184">
        <f t="shared" si="20"/>
        <v>1.2144685218974649</v>
      </c>
      <c r="J65" s="185">
        <f t="shared" si="2"/>
        <v>842.84115419684065</v>
      </c>
      <c r="K65" s="192">
        <f t="shared" si="11"/>
        <v>951.74087903558006</v>
      </c>
      <c r="L65" s="191">
        <f t="shared" si="19"/>
        <v>-108.89972483873942</v>
      </c>
      <c r="M65" s="188">
        <f t="shared" si="7"/>
        <v>-8.9257396852046629</v>
      </c>
      <c r="N65" s="189">
        <f t="shared" si="8"/>
        <v>-117.82546452394408</v>
      </c>
      <c r="O65" s="188">
        <v>0</v>
      </c>
      <c r="P65" s="188">
        <v>0</v>
      </c>
      <c r="Q65" s="188">
        <v>0</v>
      </c>
      <c r="R65" s="189">
        <f t="shared" si="9"/>
        <v>-117.82546452394408</v>
      </c>
    </row>
    <row r="66" spans="1:18" x14ac:dyDescent="0.25">
      <c r="A66" s="146">
        <v>11</v>
      </c>
      <c r="B66" s="181">
        <f t="shared" si="4"/>
        <v>45231</v>
      </c>
      <c r="C66" s="201">
        <f t="shared" si="18"/>
        <v>45266</v>
      </c>
      <c r="D66" s="201">
        <f t="shared" si="18"/>
        <v>45285</v>
      </c>
      <c r="E66" s="52" t="s">
        <v>14</v>
      </c>
      <c r="F66" s="146">
        <v>9</v>
      </c>
      <c r="G66" s="183">
        <v>736</v>
      </c>
      <c r="H66" s="184">
        <f t="shared" si="5"/>
        <v>1.371384551924467</v>
      </c>
      <c r="I66" s="184">
        <f t="shared" si="20"/>
        <v>1.2144685218974649</v>
      </c>
      <c r="J66" s="185">
        <f t="shared" si="2"/>
        <v>893.84883211653414</v>
      </c>
      <c r="K66" s="192">
        <f t="shared" si="11"/>
        <v>1009.3390302164077</v>
      </c>
      <c r="L66" s="191">
        <f t="shared" si="19"/>
        <v>-115.49019809987351</v>
      </c>
      <c r="M66" s="188">
        <f t="shared" si="7"/>
        <v>-9.4659141330124363</v>
      </c>
      <c r="N66" s="189">
        <f t="shared" si="8"/>
        <v>-124.95611223288594</v>
      </c>
      <c r="O66" s="188">
        <v>0</v>
      </c>
      <c r="P66" s="188">
        <v>0</v>
      </c>
      <c r="Q66" s="188">
        <v>0</v>
      </c>
      <c r="R66" s="189">
        <f t="shared" si="9"/>
        <v>-124.95611223288594</v>
      </c>
    </row>
    <row r="67" spans="1:18" s="205" customFormat="1" x14ac:dyDescent="0.25">
      <c r="A67" s="146">
        <v>12</v>
      </c>
      <c r="B67" s="203">
        <f t="shared" si="4"/>
        <v>45261</v>
      </c>
      <c r="C67" s="201">
        <f t="shared" si="18"/>
        <v>45294</v>
      </c>
      <c r="D67" s="201">
        <f t="shared" si="18"/>
        <v>45315</v>
      </c>
      <c r="E67" s="204" t="s">
        <v>14</v>
      </c>
      <c r="F67" s="157">
        <v>9</v>
      </c>
      <c r="G67" s="183">
        <v>713</v>
      </c>
      <c r="H67" s="193">
        <f t="shared" si="5"/>
        <v>1.371384551924467</v>
      </c>
      <c r="I67" s="193">
        <f t="shared" si="20"/>
        <v>1.2144685218974649</v>
      </c>
      <c r="J67" s="194">
        <f t="shared" si="2"/>
        <v>865.91605611289242</v>
      </c>
      <c r="K67" s="195">
        <f t="shared" si="11"/>
        <v>977.7971855221449</v>
      </c>
      <c r="L67" s="196">
        <f t="shared" si="19"/>
        <v>-111.88112940925248</v>
      </c>
      <c r="M67" s="188">
        <f t="shared" si="7"/>
        <v>-9.1701043163557987</v>
      </c>
      <c r="N67" s="189">
        <f t="shared" si="8"/>
        <v>-121.05123372560828</v>
      </c>
      <c r="O67" s="188">
        <v>0</v>
      </c>
      <c r="P67" s="188">
        <v>0</v>
      </c>
      <c r="Q67" s="188">
        <v>0</v>
      </c>
      <c r="R67" s="189">
        <f t="shared" si="9"/>
        <v>-121.05123372560828</v>
      </c>
    </row>
    <row r="68" spans="1:18" x14ac:dyDescent="0.25">
      <c r="A68" s="110">
        <v>1</v>
      </c>
      <c r="B68" s="181">
        <f t="shared" si="4"/>
        <v>44927</v>
      </c>
      <c r="C68" s="198">
        <f t="shared" ref="C68:D79" si="21">+C56</f>
        <v>44960</v>
      </c>
      <c r="D68" s="198">
        <f t="shared" si="21"/>
        <v>44981</v>
      </c>
      <c r="E68" s="182" t="s">
        <v>85</v>
      </c>
      <c r="F68" s="110">
        <v>9</v>
      </c>
      <c r="G68" s="183">
        <v>44</v>
      </c>
      <c r="H68" s="184">
        <f t="shared" si="5"/>
        <v>1.371384551924467</v>
      </c>
      <c r="I68" s="184">
        <f t="shared" si="20"/>
        <v>1.2144685218974649</v>
      </c>
      <c r="J68" s="185">
        <f t="shared" si="2"/>
        <v>53.436614963488452</v>
      </c>
      <c r="K68" s="186">
        <f t="shared" si="11"/>
        <v>60.340920284676542</v>
      </c>
      <c r="L68" s="187">
        <f t="shared" si="19"/>
        <v>-6.9043053211880903</v>
      </c>
      <c r="M68" s="188">
        <f t="shared" si="7"/>
        <v>-0.56589704056052614</v>
      </c>
      <c r="N68" s="189">
        <f t="shared" si="8"/>
        <v>-7.4702023617486164</v>
      </c>
      <c r="O68" s="188">
        <v>0</v>
      </c>
      <c r="P68" s="188">
        <v>0</v>
      </c>
      <c r="Q68" s="188">
        <v>0</v>
      </c>
      <c r="R68" s="189">
        <f t="shared" si="9"/>
        <v>-7.4702023617486164</v>
      </c>
    </row>
    <row r="69" spans="1:18" x14ac:dyDescent="0.25">
      <c r="A69" s="146">
        <v>2</v>
      </c>
      <c r="B69" s="181">
        <f t="shared" si="4"/>
        <v>44958</v>
      </c>
      <c r="C69" s="201">
        <f t="shared" si="21"/>
        <v>44988</v>
      </c>
      <c r="D69" s="201">
        <f t="shared" si="21"/>
        <v>45009</v>
      </c>
      <c r="E69" s="190" t="s">
        <v>85</v>
      </c>
      <c r="F69" s="146">
        <v>9</v>
      </c>
      <c r="G69" s="183">
        <v>42</v>
      </c>
      <c r="H69" s="184">
        <f t="shared" si="5"/>
        <v>1.371384551924467</v>
      </c>
      <c r="I69" s="184">
        <f t="shared" si="20"/>
        <v>1.2144685218974649</v>
      </c>
      <c r="J69" s="185">
        <f t="shared" si="2"/>
        <v>51.007677919693528</v>
      </c>
      <c r="K69" s="186">
        <f t="shared" si="11"/>
        <v>57.598151180827614</v>
      </c>
      <c r="L69" s="187">
        <f t="shared" si="19"/>
        <v>-6.5904732611340862</v>
      </c>
      <c r="M69" s="188">
        <f t="shared" si="7"/>
        <v>-0.5401744478077749</v>
      </c>
      <c r="N69" s="189">
        <f t="shared" si="8"/>
        <v>-7.1306477089418614</v>
      </c>
      <c r="O69" s="188">
        <v>0</v>
      </c>
      <c r="P69" s="188">
        <v>0</v>
      </c>
      <c r="Q69" s="188">
        <v>0</v>
      </c>
      <c r="R69" s="189">
        <f t="shared" si="9"/>
        <v>-7.1306477089418614</v>
      </c>
    </row>
    <row r="70" spans="1:18" x14ac:dyDescent="0.25">
      <c r="A70" s="146">
        <v>3</v>
      </c>
      <c r="B70" s="181">
        <f t="shared" si="4"/>
        <v>44986</v>
      </c>
      <c r="C70" s="201">
        <f t="shared" si="21"/>
        <v>45021</v>
      </c>
      <c r="D70" s="201">
        <f t="shared" si="21"/>
        <v>45040</v>
      </c>
      <c r="E70" s="190" t="s">
        <v>85</v>
      </c>
      <c r="F70" s="146">
        <v>9</v>
      </c>
      <c r="G70" s="183">
        <v>37</v>
      </c>
      <c r="H70" s="184">
        <f t="shared" si="5"/>
        <v>1.371384551924467</v>
      </c>
      <c r="I70" s="184">
        <f t="shared" si="20"/>
        <v>1.2144685218974649</v>
      </c>
      <c r="J70" s="185">
        <f t="shared" si="2"/>
        <v>44.935335310206199</v>
      </c>
      <c r="K70" s="186">
        <f t="shared" si="11"/>
        <v>50.741228421205278</v>
      </c>
      <c r="L70" s="187">
        <f>+J70-K70</f>
        <v>-5.8058931109990795</v>
      </c>
      <c r="M70" s="188">
        <f t="shared" si="7"/>
        <v>-0.47586796592589692</v>
      </c>
      <c r="N70" s="189">
        <f t="shared" si="8"/>
        <v>-6.2817610769249761</v>
      </c>
      <c r="O70" s="188">
        <v>0</v>
      </c>
      <c r="P70" s="188">
        <v>0</v>
      </c>
      <c r="Q70" s="188">
        <v>0</v>
      </c>
      <c r="R70" s="189">
        <f t="shared" si="9"/>
        <v>-6.2817610769249761</v>
      </c>
    </row>
    <row r="71" spans="1:18" x14ac:dyDescent="0.25">
      <c r="A71" s="110">
        <v>4</v>
      </c>
      <c r="B71" s="181">
        <f t="shared" si="4"/>
        <v>45017</v>
      </c>
      <c r="C71" s="201">
        <f t="shared" si="21"/>
        <v>45049</v>
      </c>
      <c r="D71" s="201">
        <f t="shared" si="21"/>
        <v>45070</v>
      </c>
      <c r="E71" s="190" t="s">
        <v>85</v>
      </c>
      <c r="F71" s="146">
        <v>9</v>
      </c>
      <c r="G71" s="183">
        <v>27</v>
      </c>
      <c r="H71" s="184">
        <f t="shared" si="5"/>
        <v>1.371384551924467</v>
      </c>
      <c r="I71" s="184">
        <f t="shared" si="20"/>
        <v>1.2144685218974649</v>
      </c>
      <c r="J71" s="185">
        <f t="shared" si="2"/>
        <v>32.790650091231555</v>
      </c>
      <c r="K71" s="186">
        <f t="shared" si="11"/>
        <v>37.027382901960607</v>
      </c>
      <c r="L71" s="187">
        <f t="shared" ref="L71:L79" si="22">+J71-K71</f>
        <v>-4.2367328107290518</v>
      </c>
      <c r="M71" s="188">
        <f t="shared" si="7"/>
        <v>-0.34725500216214106</v>
      </c>
      <c r="N71" s="189">
        <f t="shared" si="8"/>
        <v>-4.5839878128911931</v>
      </c>
      <c r="O71" s="188">
        <v>0</v>
      </c>
      <c r="P71" s="188">
        <v>0</v>
      </c>
      <c r="Q71" s="188">
        <v>0</v>
      </c>
      <c r="R71" s="189">
        <f t="shared" si="9"/>
        <v>-4.5839878128911931</v>
      </c>
    </row>
    <row r="72" spans="1:18" x14ac:dyDescent="0.25">
      <c r="A72" s="146">
        <v>5</v>
      </c>
      <c r="B72" s="181">
        <f t="shared" si="4"/>
        <v>45047</v>
      </c>
      <c r="C72" s="201">
        <f t="shared" si="21"/>
        <v>45082</v>
      </c>
      <c r="D72" s="201">
        <f t="shared" si="21"/>
        <v>45103</v>
      </c>
      <c r="E72" s="190" t="s">
        <v>85</v>
      </c>
      <c r="F72" s="146">
        <v>9</v>
      </c>
      <c r="G72" s="183">
        <v>42</v>
      </c>
      <c r="H72" s="184">
        <f t="shared" si="5"/>
        <v>1.371384551924467</v>
      </c>
      <c r="I72" s="184">
        <f t="shared" si="20"/>
        <v>1.2144685218974649</v>
      </c>
      <c r="J72" s="185">
        <f t="shared" si="2"/>
        <v>51.007677919693528</v>
      </c>
      <c r="K72" s="186">
        <f t="shared" si="11"/>
        <v>57.598151180827614</v>
      </c>
      <c r="L72" s="187">
        <f t="shared" si="22"/>
        <v>-6.5904732611340862</v>
      </c>
      <c r="M72" s="188">
        <f t="shared" si="7"/>
        <v>-0.5401744478077749</v>
      </c>
      <c r="N72" s="189">
        <f t="shared" si="8"/>
        <v>-7.1306477089418614</v>
      </c>
      <c r="O72" s="188">
        <v>0</v>
      </c>
      <c r="P72" s="188">
        <v>0</v>
      </c>
      <c r="Q72" s="188">
        <v>0</v>
      </c>
      <c r="R72" s="189">
        <f t="shared" si="9"/>
        <v>-7.1306477089418614</v>
      </c>
    </row>
    <row r="73" spans="1:18" x14ac:dyDescent="0.25">
      <c r="A73" s="146">
        <v>6</v>
      </c>
      <c r="B73" s="181">
        <f t="shared" si="4"/>
        <v>45078</v>
      </c>
      <c r="C73" s="201">
        <f t="shared" si="21"/>
        <v>45112</v>
      </c>
      <c r="D73" s="201">
        <f t="shared" si="21"/>
        <v>45131</v>
      </c>
      <c r="E73" s="190" t="s">
        <v>85</v>
      </c>
      <c r="F73" s="146">
        <v>9</v>
      </c>
      <c r="G73" s="183">
        <v>56</v>
      </c>
      <c r="H73" s="184">
        <f t="shared" si="5"/>
        <v>1.371384551924467</v>
      </c>
      <c r="I73" s="184">
        <f t="shared" si="20"/>
        <v>1.2144685218974649</v>
      </c>
      <c r="J73" s="185">
        <f t="shared" si="2"/>
        <v>68.010237226258027</v>
      </c>
      <c r="K73" s="186">
        <f t="shared" si="11"/>
        <v>76.797534907770142</v>
      </c>
      <c r="L73" s="191">
        <f t="shared" si="22"/>
        <v>-8.7872976815121149</v>
      </c>
      <c r="M73" s="188">
        <f t="shared" si="7"/>
        <v>-0.72023259707703324</v>
      </c>
      <c r="N73" s="189">
        <f t="shared" si="8"/>
        <v>-9.5075302785891473</v>
      </c>
      <c r="O73" s="188">
        <v>0</v>
      </c>
      <c r="P73" s="188">
        <v>0</v>
      </c>
      <c r="Q73" s="188">
        <v>0</v>
      </c>
      <c r="R73" s="189">
        <f t="shared" si="9"/>
        <v>-9.5075302785891473</v>
      </c>
    </row>
    <row r="74" spans="1:18" x14ac:dyDescent="0.25">
      <c r="A74" s="110">
        <v>7</v>
      </c>
      <c r="B74" s="181">
        <f t="shared" si="4"/>
        <v>45108</v>
      </c>
      <c r="C74" s="201">
        <f t="shared" si="21"/>
        <v>45141</v>
      </c>
      <c r="D74" s="201">
        <f t="shared" si="21"/>
        <v>45162</v>
      </c>
      <c r="E74" s="190" t="s">
        <v>85</v>
      </c>
      <c r="F74" s="146">
        <v>9</v>
      </c>
      <c r="G74" s="183">
        <v>54</v>
      </c>
      <c r="H74" s="184">
        <f t="shared" si="5"/>
        <v>1.371384551924467</v>
      </c>
      <c r="I74" s="184">
        <f t="shared" si="20"/>
        <v>1.2144685218974649</v>
      </c>
      <c r="J74" s="185">
        <f t="shared" si="2"/>
        <v>65.58130018246311</v>
      </c>
      <c r="K74" s="192">
        <f t="shared" si="11"/>
        <v>74.054765803921214</v>
      </c>
      <c r="L74" s="191">
        <f t="shared" si="22"/>
        <v>-8.4734656214581037</v>
      </c>
      <c r="M74" s="188">
        <f t="shared" si="7"/>
        <v>-0.69451000432428212</v>
      </c>
      <c r="N74" s="189">
        <f t="shared" si="8"/>
        <v>-9.1679756257823861</v>
      </c>
      <c r="O74" s="188">
        <v>0</v>
      </c>
      <c r="P74" s="188">
        <v>0</v>
      </c>
      <c r="Q74" s="188">
        <v>0</v>
      </c>
      <c r="R74" s="189">
        <f t="shared" si="9"/>
        <v>-9.1679756257823861</v>
      </c>
    </row>
    <row r="75" spans="1:18" x14ac:dyDescent="0.25">
      <c r="A75" s="146">
        <v>8</v>
      </c>
      <c r="B75" s="181">
        <f t="shared" si="4"/>
        <v>45139</v>
      </c>
      <c r="C75" s="201">
        <f t="shared" si="21"/>
        <v>45174</v>
      </c>
      <c r="D75" s="201">
        <f t="shared" si="21"/>
        <v>45194</v>
      </c>
      <c r="E75" s="190" t="s">
        <v>85</v>
      </c>
      <c r="F75" s="146">
        <v>9</v>
      </c>
      <c r="G75" s="183">
        <v>59</v>
      </c>
      <c r="H75" s="184">
        <f t="shared" si="5"/>
        <v>1.371384551924467</v>
      </c>
      <c r="I75" s="184">
        <f t="shared" si="20"/>
        <v>1.2144685218974649</v>
      </c>
      <c r="J75" s="185">
        <f t="shared" si="2"/>
        <v>71.653642791950432</v>
      </c>
      <c r="K75" s="192">
        <f t="shared" si="11"/>
        <v>80.911688563543549</v>
      </c>
      <c r="L75" s="191">
        <f t="shared" si="22"/>
        <v>-9.2580457715931175</v>
      </c>
      <c r="M75" s="188">
        <f t="shared" si="7"/>
        <v>-0.75881648620616005</v>
      </c>
      <c r="N75" s="189">
        <f t="shared" si="8"/>
        <v>-10.016862257799277</v>
      </c>
      <c r="O75" s="188">
        <v>0</v>
      </c>
      <c r="P75" s="188">
        <v>0</v>
      </c>
      <c r="Q75" s="188">
        <v>0</v>
      </c>
      <c r="R75" s="189">
        <f t="shared" si="9"/>
        <v>-10.016862257799277</v>
      </c>
    </row>
    <row r="76" spans="1:18" x14ac:dyDescent="0.25">
      <c r="A76" s="146">
        <v>9</v>
      </c>
      <c r="B76" s="181">
        <f t="shared" si="4"/>
        <v>45170</v>
      </c>
      <c r="C76" s="201">
        <f t="shared" si="21"/>
        <v>45203</v>
      </c>
      <c r="D76" s="201">
        <f t="shared" si="21"/>
        <v>45223</v>
      </c>
      <c r="E76" s="190" t="s">
        <v>85</v>
      </c>
      <c r="F76" s="146">
        <v>9</v>
      </c>
      <c r="G76" s="183">
        <v>54</v>
      </c>
      <c r="H76" s="184">
        <f t="shared" si="5"/>
        <v>1.371384551924467</v>
      </c>
      <c r="I76" s="184">
        <f t="shared" si="20"/>
        <v>1.2144685218974649</v>
      </c>
      <c r="J76" s="185">
        <f t="shared" si="2"/>
        <v>65.58130018246311</v>
      </c>
      <c r="K76" s="192">
        <f t="shared" si="11"/>
        <v>74.054765803921214</v>
      </c>
      <c r="L76" s="191">
        <f t="shared" si="22"/>
        <v>-8.4734656214581037</v>
      </c>
      <c r="M76" s="188">
        <f t="shared" si="7"/>
        <v>-0.69451000432428212</v>
      </c>
      <c r="N76" s="189">
        <f t="shared" si="8"/>
        <v>-9.1679756257823861</v>
      </c>
      <c r="O76" s="188">
        <v>0</v>
      </c>
      <c r="P76" s="188">
        <v>0</v>
      </c>
      <c r="Q76" s="188">
        <v>0</v>
      </c>
      <c r="R76" s="189">
        <f t="shared" si="9"/>
        <v>-9.1679756257823861</v>
      </c>
    </row>
    <row r="77" spans="1:18" x14ac:dyDescent="0.25">
      <c r="A77" s="110">
        <v>10</v>
      </c>
      <c r="B77" s="181">
        <f t="shared" si="4"/>
        <v>45200</v>
      </c>
      <c r="C77" s="201">
        <f t="shared" si="21"/>
        <v>45233</v>
      </c>
      <c r="D77" s="201">
        <f t="shared" si="21"/>
        <v>45254</v>
      </c>
      <c r="E77" s="190" t="s">
        <v>85</v>
      </c>
      <c r="F77" s="146">
        <v>9</v>
      </c>
      <c r="G77" s="183">
        <v>37</v>
      </c>
      <c r="H77" s="184">
        <f t="shared" si="5"/>
        <v>1.371384551924467</v>
      </c>
      <c r="I77" s="184">
        <f t="shared" si="20"/>
        <v>1.2144685218974649</v>
      </c>
      <c r="J77" s="185">
        <f t="shared" si="2"/>
        <v>44.935335310206199</v>
      </c>
      <c r="K77" s="192">
        <f t="shared" si="11"/>
        <v>50.741228421205278</v>
      </c>
      <c r="L77" s="191">
        <f t="shared" si="22"/>
        <v>-5.8058931109990795</v>
      </c>
      <c r="M77" s="188">
        <f t="shared" si="7"/>
        <v>-0.47586796592589692</v>
      </c>
      <c r="N77" s="189">
        <f t="shared" si="8"/>
        <v>-6.2817610769249761</v>
      </c>
      <c r="O77" s="188">
        <v>0</v>
      </c>
      <c r="P77" s="188">
        <v>0</v>
      </c>
      <c r="Q77" s="188">
        <v>0</v>
      </c>
      <c r="R77" s="189">
        <f t="shared" si="9"/>
        <v>-6.2817610769249761</v>
      </c>
    </row>
    <row r="78" spans="1:18" x14ac:dyDescent="0.25">
      <c r="A78" s="146">
        <v>11</v>
      </c>
      <c r="B78" s="181">
        <f t="shared" si="4"/>
        <v>45231</v>
      </c>
      <c r="C78" s="201">
        <f t="shared" si="21"/>
        <v>45266</v>
      </c>
      <c r="D78" s="201">
        <f t="shared" si="21"/>
        <v>45285</v>
      </c>
      <c r="E78" s="190" t="s">
        <v>85</v>
      </c>
      <c r="F78" s="146">
        <v>9</v>
      </c>
      <c r="G78" s="183">
        <v>38</v>
      </c>
      <c r="H78" s="184">
        <f t="shared" si="5"/>
        <v>1.371384551924467</v>
      </c>
      <c r="I78" s="184">
        <f t="shared" si="20"/>
        <v>1.2144685218974649</v>
      </c>
      <c r="J78" s="185">
        <f t="shared" si="2"/>
        <v>46.149803832103665</v>
      </c>
      <c r="K78" s="192">
        <f>+$G78*H78</f>
        <v>52.112612973129742</v>
      </c>
      <c r="L78" s="191">
        <f t="shared" si="22"/>
        <v>-5.962809141026078</v>
      </c>
      <c r="M78" s="188">
        <f t="shared" si="7"/>
        <v>-0.48872926230227259</v>
      </c>
      <c r="N78" s="189">
        <f t="shared" si="8"/>
        <v>-6.4515384033283505</v>
      </c>
      <c r="O78" s="188">
        <v>0</v>
      </c>
      <c r="P78" s="188">
        <v>0</v>
      </c>
      <c r="Q78" s="188">
        <v>0</v>
      </c>
      <c r="R78" s="189">
        <f t="shared" si="9"/>
        <v>-6.4515384033283505</v>
      </c>
    </row>
    <row r="79" spans="1:18" s="205" customFormat="1" x14ac:dyDescent="0.25">
      <c r="A79" s="146">
        <v>12</v>
      </c>
      <c r="B79" s="203">
        <f t="shared" si="4"/>
        <v>45261</v>
      </c>
      <c r="C79" s="206">
        <f t="shared" si="21"/>
        <v>45294</v>
      </c>
      <c r="D79" s="206">
        <f t="shared" si="21"/>
        <v>45315</v>
      </c>
      <c r="E79" s="207" t="s">
        <v>85</v>
      </c>
      <c r="F79" s="157">
        <v>9</v>
      </c>
      <c r="G79" s="183">
        <v>35</v>
      </c>
      <c r="H79" s="193">
        <f t="shared" si="5"/>
        <v>1.371384551924467</v>
      </c>
      <c r="I79" s="193">
        <f t="shared" si="20"/>
        <v>1.2144685218974649</v>
      </c>
      <c r="J79" s="194">
        <f t="shared" si="2"/>
        <v>42.506398266411274</v>
      </c>
      <c r="K79" s="195">
        <f>+$G79*H79</f>
        <v>47.998459317356343</v>
      </c>
      <c r="L79" s="196">
        <f t="shared" si="22"/>
        <v>-5.4920610509450682</v>
      </c>
      <c r="M79" s="188">
        <f t="shared" si="7"/>
        <v>-0.45014537317314579</v>
      </c>
      <c r="N79" s="189">
        <f t="shared" si="8"/>
        <v>-5.942206424118214</v>
      </c>
      <c r="O79" s="188">
        <v>0</v>
      </c>
      <c r="P79" s="188">
        <v>0</v>
      </c>
      <c r="Q79" s="188">
        <v>0</v>
      </c>
      <c r="R79" s="189">
        <f t="shared" si="9"/>
        <v>-5.942206424118214</v>
      </c>
    </row>
    <row r="80" spans="1:18" s="50" customFormat="1" ht="12.75" customHeight="1" x14ac:dyDescent="0.25">
      <c r="A80" s="110">
        <v>1</v>
      </c>
      <c r="B80" s="181">
        <f t="shared" si="4"/>
        <v>44927</v>
      </c>
      <c r="C80" s="198">
        <f t="shared" ref="C80:D91" si="23">+C56</f>
        <v>44960</v>
      </c>
      <c r="D80" s="198">
        <f t="shared" si="23"/>
        <v>44981</v>
      </c>
      <c r="E80" s="182" t="s">
        <v>9</v>
      </c>
      <c r="F80" s="110">
        <v>9</v>
      </c>
      <c r="G80" s="183">
        <v>53</v>
      </c>
      <c r="H80" s="184">
        <f t="shared" si="5"/>
        <v>1.371384551924467</v>
      </c>
      <c r="I80" s="184">
        <f t="shared" si="20"/>
        <v>1.2144685218974649</v>
      </c>
      <c r="J80" s="185">
        <f t="shared" si="2"/>
        <v>64.366831660565637</v>
      </c>
      <c r="K80" s="186">
        <f t="shared" si="11"/>
        <v>72.683381251996749</v>
      </c>
      <c r="L80" s="187">
        <f t="shared" si="19"/>
        <v>-8.3165495914311123</v>
      </c>
      <c r="M80" s="188">
        <f t="shared" si="7"/>
        <v>-0.68164870794790655</v>
      </c>
      <c r="N80" s="189">
        <f t="shared" si="8"/>
        <v>-8.9981982993790197</v>
      </c>
      <c r="O80" s="188">
        <v>0</v>
      </c>
      <c r="P80" s="188">
        <v>0</v>
      </c>
      <c r="Q80" s="188">
        <v>0</v>
      </c>
      <c r="R80" s="189">
        <f t="shared" si="9"/>
        <v>-8.9981982993790197</v>
      </c>
    </row>
    <row r="81" spans="1:18" x14ac:dyDescent="0.25">
      <c r="A81" s="146">
        <v>2</v>
      </c>
      <c r="B81" s="181">
        <f t="shared" si="4"/>
        <v>44958</v>
      </c>
      <c r="C81" s="201">
        <f t="shared" si="23"/>
        <v>44988</v>
      </c>
      <c r="D81" s="201">
        <f t="shared" si="23"/>
        <v>45009</v>
      </c>
      <c r="E81" s="190" t="s">
        <v>9</v>
      </c>
      <c r="F81" s="146">
        <v>9</v>
      </c>
      <c r="G81" s="183">
        <v>55</v>
      </c>
      <c r="H81" s="184">
        <f t="shared" si="5"/>
        <v>1.371384551924467</v>
      </c>
      <c r="I81" s="184">
        <f t="shared" si="20"/>
        <v>1.2144685218974649</v>
      </c>
      <c r="J81" s="185">
        <f t="shared" si="2"/>
        <v>66.795768704360569</v>
      </c>
      <c r="K81" s="186">
        <f t="shared" si="11"/>
        <v>75.426150355845678</v>
      </c>
      <c r="L81" s="187">
        <f t="shared" si="19"/>
        <v>-8.6303816514851093</v>
      </c>
      <c r="M81" s="188">
        <f t="shared" si="7"/>
        <v>-0.70737130070065768</v>
      </c>
      <c r="N81" s="189">
        <f t="shared" si="8"/>
        <v>-9.3377529521857667</v>
      </c>
      <c r="O81" s="188">
        <v>0</v>
      </c>
      <c r="P81" s="188">
        <v>0</v>
      </c>
      <c r="Q81" s="188">
        <v>0</v>
      </c>
      <c r="R81" s="189">
        <f t="shared" si="9"/>
        <v>-9.3377529521857667</v>
      </c>
    </row>
    <row r="82" spans="1:18" x14ac:dyDescent="0.25">
      <c r="A82" s="146">
        <v>3</v>
      </c>
      <c r="B82" s="181">
        <f t="shared" si="4"/>
        <v>44986</v>
      </c>
      <c r="C82" s="201">
        <f t="shared" si="23"/>
        <v>45021</v>
      </c>
      <c r="D82" s="201">
        <f t="shared" si="23"/>
        <v>45040</v>
      </c>
      <c r="E82" s="190" t="s">
        <v>9</v>
      </c>
      <c r="F82" s="146">
        <v>9</v>
      </c>
      <c r="G82" s="183">
        <v>46</v>
      </c>
      <c r="H82" s="184">
        <f t="shared" si="5"/>
        <v>1.371384551924467</v>
      </c>
      <c r="I82" s="184">
        <f t="shared" si="20"/>
        <v>1.2144685218974649</v>
      </c>
      <c r="J82" s="185">
        <f t="shared" si="2"/>
        <v>55.865552007283384</v>
      </c>
      <c r="K82" s="186">
        <f t="shared" si="11"/>
        <v>63.083689388525478</v>
      </c>
      <c r="L82" s="187">
        <f>+J82-K82</f>
        <v>-7.2181373812420944</v>
      </c>
      <c r="M82" s="188">
        <f t="shared" si="7"/>
        <v>-0.59161963331327727</v>
      </c>
      <c r="N82" s="189">
        <f t="shared" si="8"/>
        <v>-7.8097570145553714</v>
      </c>
      <c r="O82" s="188">
        <v>0</v>
      </c>
      <c r="P82" s="188">
        <v>0</v>
      </c>
      <c r="Q82" s="188">
        <v>0</v>
      </c>
      <c r="R82" s="189">
        <f t="shared" si="9"/>
        <v>-7.8097570145553714</v>
      </c>
    </row>
    <row r="83" spans="1:18" ht="12" customHeight="1" x14ac:dyDescent="0.25">
      <c r="A83" s="110">
        <v>4</v>
      </c>
      <c r="B83" s="181">
        <f t="shared" si="4"/>
        <v>45017</v>
      </c>
      <c r="C83" s="201">
        <f t="shared" si="23"/>
        <v>45049</v>
      </c>
      <c r="D83" s="201">
        <f t="shared" si="23"/>
        <v>45070</v>
      </c>
      <c r="E83" s="52" t="s">
        <v>9</v>
      </c>
      <c r="F83" s="146">
        <v>9</v>
      </c>
      <c r="G83" s="183">
        <v>33</v>
      </c>
      <c r="H83" s="184">
        <f t="shared" si="5"/>
        <v>1.371384551924467</v>
      </c>
      <c r="I83" s="184">
        <f t="shared" si="20"/>
        <v>1.2144685218974649</v>
      </c>
      <c r="J83" s="185">
        <f t="shared" si="2"/>
        <v>40.077461222616343</v>
      </c>
      <c r="K83" s="186">
        <f t="shared" si="11"/>
        <v>45.255690213507407</v>
      </c>
      <c r="L83" s="187">
        <f t="shared" ref="L83:L93" si="24">+J83-K83</f>
        <v>-5.1782289908910641</v>
      </c>
      <c r="M83" s="188">
        <f t="shared" si="7"/>
        <v>-0.42442278042039461</v>
      </c>
      <c r="N83" s="189">
        <f t="shared" si="8"/>
        <v>-5.602651771311459</v>
      </c>
      <c r="O83" s="188">
        <v>0</v>
      </c>
      <c r="P83" s="188">
        <v>0</v>
      </c>
      <c r="Q83" s="188">
        <v>0</v>
      </c>
      <c r="R83" s="189">
        <f t="shared" si="9"/>
        <v>-5.602651771311459</v>
      </c>
    </row>
    <row r="84" spans="1:18" ht="12" customHeight="1" x14ac:dyDescent="0.25">
      <c r="A84" s="146">
        <v>5</v>
      </c>
      <c r="B84" s="181">
        <f t="shared" si="4"/>
        <v>45047</v>
      </c>
      <c r="C84" s="201">
        <f t="shared" si="23"/>
        <v>45082</v>
      </c>
      <c r="D84" s="201">
        <f t="shared" si="23"/>
        <v>45103</v>
      </c>
      <c r="E84" s="52" t="s">
        <v>9</v>
      </c>
      <c r="F84" s="146">
        <v>9</v>
      </c>
      <c r="G84" s="183">
        <v>44</v>
      </c>
      <c r="H84" s="184">
        <f t="shared" si="5"/>
        <v>1.371384551924467</v>
      </c>
      <c r="I84" s="184">
        <f t="shared" si="20"/>
        <v>1.2144685218974649</v>
      </c>
      <c r="J84" s="185">
        <f t="shared" si="2"/>
        <v>53.436614963488452</v>
      </c>
      <c r="K84" s="186">
        <f t="shared" si="11"/>
        <v>60.340920284676542</v>
      </c>
      <c r="L84" s="187">
        <f t="shared" si="24"/>
        <v>-6.9043053211880903</v>
      </c>
      <c r="M84" s="188">
        <f t="shared" si="7"/>
        <v>-0.56589704056052614</v>
      </c>
      <c r="N84" s="189">
        <f t="shared" si="8"/>
        <v>-7.4702023617486164</v>
      </c>
      <c r="O84" s="188">
        <v>0</v>
      </c>
      <c r="P84" s="188">
        <v>0</v>
      </c>
      <c r="Q84" s="188">
        <v>0</v>
      </c>
      <c r="R84" s="189">
        <f t="shared" si="9"/>
        <v>-7.4702023617486164</v>
      </c>
    </row>
    <row r="85" spans="1:18" x14ac:dyDescent="0.25">
      <c r="A85" s="146">
        <v>6</v>
      </c>
      <c r="B85" s="181">
        <f t="shared" si="4"/>
        <v>45078</v>
      </c>
      <c r="C85" s="201">
        <f t="shared" si="23"/>
        <v>45112</v>
      </c>
      <c r="D85" s="201">
        <f t="shared" si="23"/>
        <v>45131</v>
      </c>
      <c r="E85" s="52" t="s">
        <v>9</v>
      </c>
      <c r="F85" s="146">
        <v>9</v>
      </c>
      <c r="G85" s="183">
        <v>55</v>
      </c>
      <c r="H85" s="184">
        <f t="shared" ref="H85:H148" si="25">+$K$3</f>
        <v>1.371384551924467</v>
      </c>
      <c r="I85" s="184">
        <f t="shared" si="20"/>
        <v>1.2144685218974649</v>
      </c>
      <c r="J85" s="185">
        <f t="shared" si="2"/>
        <v>66.795768704360569</v>
      </c>
      <c r="K85" s="186">
        <f t="shared" si="11"/>
        <v>75.426150355845678</v>
      </c>
      <c r="L85" s="191">
        <f t="shared" si="24"/>
        <v>-8.6303816514851093</v>
      </c>
      <c r="M85" s="188">
        <f t="shared" ref="M85:M148" si="26">G85/$G$212*$M$14</f>
        <v>-0.70737130070065768</v>
      </c>
      <c r="N85" s="189">
        <f t="shared" ref="N85:N148" si="27">SUM(L85:M85)</f>
        <v>-9.3377529521857667</v>
      </c>
      <c r="O85" s="188">
        <v>0</v>
      </c>
      <c r="P85" s="188">
        <v>0</v>
      </c>
      <c r="Q85" s="188">
        <v>0</v>
      </c>
      <c r="R85" s="189">
        <f t="shared" ref="R85:R148" si="28">+N85-Q85</f>
        <v>-9.3377529521857667</v>
      </c>
    </row>
    <row r="86" spans="1:18" x14ac:dyDescent="0.25">
      <c r="A86" s="110">
        <v>7</v>
      </c>
      <c r="B86" s="181">
        <f t="shared" si="4"/>
        <v>45108</v>
      </c>
      <c r="C86" s="201">
        <f t="shared" si="23"/>
        <v>45141</v>
      </c>
      <c r="D86" s="201">
        <f t="shared" si="23"/>
        <v>45162</v>
      </c>
      <c r="E86" s="52" t="s">
        <v>9</v>
      </c>
      <c r="F86" s="146">
        <v>9</v>
      </c>
      <c r="G86" s="183">
        <v>57</v>
      </c>
      <c r="H86" s="184">
        <f t="shared" si="25"/>
        <v>1.371384551924467</v>
      </c>
      <c r="I86" s="184">
        <f t="shared" si="20"/>
        <v>1.2144685218974649</v>
      </c>
      <c r="J86" s="185">
        <f t="shared" si="2"/>
        <v>69.2247057481555</v>
      </c>
      <c r="K86" s="192">
        <f t="shared" si="11"/>
        <v>78.168919459694621</v>
      </c>
      <c r="L86" s="191">
        <f t="shared" si="24"/>
        <v>-8.9442137115391205</v>
      </c>
      <c r="M86" s="188">
        <f t="shared" si="26"/>
        <v>-0.73309389345340881</v>
      </c>
      <c r="N86" s="189">
        <f t="shared" si="27"/>
        <v>-9.6773076049925297</v>
      </c>
      <c r="O86" s="188">
        <v>0</v>
      </c>
      <c r="P86" s="188">
        <v>0</v>
      </c>
      <c r="Q86" s="188">
        <v>0</v>
      </c>
      <c r="R86" s="189">
        <f t="shared" si="28"/>
        <v>-9.6773076049925297</v>
      </c>
    </row>
    <row r="87" spans="1:18" x14ac:dyDescent="0.25">
      <c r="A87" s="146">
        <v>8</v>
      </c>
      <c r="B87" s="181">
        <f t="shared" si="4"/>
        <v>45139</v>
      </c>
      <c r="C87" s="201">
        <f t="shared" si="23"/>
        <v>45174</v>
      </c>
      <c r="D87" s="201">
        <f t="shared" si="23"/>
        <v>45194</v>
      </c>
      <c r="E87" s="52" t="s">
        <v>9</v>
      </c>
      <c r="F87" s="146">
        <v>9</v>
      </c>
      <c r="G87" s="183">
        <v>56</v>
      </c>
      <c r="H87" s="184">
        <f t="shared" si="25"/>
        <v>1.371384551924467</v>
      </c>
      <c r="I87" s="184">
        <f t="shared" si="20"/>
        <v>1.2144685218974649</v>
      </c>
      <c r="J87" s="185">
        <f t="shared" si="2"/>
        <v>68.010237226258027</v>
      </c>
      <c r="K87" s="192">
        <f t="shared" si="11"/>
        <v>76.797534907770142</v>
      </c>
      <c r="L87" s="191">
        <f t="shared" si="24"/>
        <v>-8.7872976815121149</v>
      </c>
      <c r="M87" s="188">
        <f t="shared" si="26"/>
        <v>-0.72023259707703324</v>
      </c>
      <c r="N87" s="189">
        <f t="shared" si="27"/>
        <v>-9.5075302785891473</v>
      </c>
      <c r="O87" s="188">
        <v>0</v>
      </c>
      <c r="P87" s="188">
        <v>0</v>
      </c>
      <c r="Q87" s="188">
        <v>0</v>
      </c>
      <c r="R87" s="189">
        <f t="shared" si="28"/>
        <v>-9.5075302785891473</v>
      </c>
    </row>
    <row r="88" spans="1:18" x14ac:dyDescent="0.25">
      <c r="A88" s="146">
        <v>9</v>
      </c>
      <c r="B88" s="181">
        <f t="shared" si="4"/>
        <v>45170</v>
      </c>
      <c r="C88" s="201">
        <f t="shared" si="23"/>
        <v>45203</v>
      </c>
      <c r="D88" s="201">
        <f t="shared" si="23"/>
        <v>45223</v>
      </c>
      <c r="E88" s="52" t="s">
        <v>9</v>
      </c>
      <c r="F88" s="146">
        <v>9</v>
      </c>
      <c r="G88" s="183">
        <v>60</v>
      </c>
      <c r="H88" s="184">
        <f t="shared" si="25"/>
        <v>1.371384551924467</v>
      </c>
      <c r="I88" s="184">
        <f t="shared" si="20"/>
        <v>1.2144685218974649</v>
      </c>
      <c r="J88" s="185">
        <f t="shared" si="2"/>
        <v>72.868111313847891</v>
      </c>
      <c r="K88" s="192">
        <f t="shared" si="11"/>
        <v>82.283073115468014</v>
      </c>
      <c r="L88" s="191">
        <f t="shared" si="24"/>
        <v>-9.4149618016201231</v>
      </c>
      <c r="M88" s="188">
        <f t="shared" si="26"/>
        <v>-0.77167778258253561</v>
      </c>
      <c r="N88" s="189">
        <f t="shared" si="27"/>
        <v>-10.186639584202659</v>
      </c>
      <c r="O88" s="188">
        <v>0</v>
      </c>
      <c r="P88" s="188">
        <v>0</v>
      </c>
      <c r="Q88" s="188">
        <v>0</v>
      </c>
      <c r="R88" s="189">
        <f t="shared" si="28"/>
        <v>-10.186639584202659</v>
      </c>
    </row>
    <row r="89" spans="1:18" x14ac:dyDescent="0.25">
      <c r="A89" s="110">
        <v>10</v>
      </c>
      <c r="B89" s="181">
        <f t="shared" si="4"/>
        <v>45200</v>
      </c>
      <c r="C89" s="201">
        <f t="shared" si="23"/>
        <v>45233</v>
      </c>
      <c r="D89" s="201">
        <f t="shared" si="23"/>
        <v>45254</v>
      </c>
      <c r="E89" s="52" t="s">
        <v>9</v>
      </c>
      <c r="F89" s="146">
        <v>9</v>
      </c>
      <c r="G89" s="183">
        <v>48</v>
      </c>
      <c r="H89" s="184">
        <f t="shared" si="25"/>
        <v>1.371384551924467</v>
      </c>
      <c r="I89" s="184">
        <f t="shared" si="20"/>
        <v>1.2144685218974649</v>
      </c>
      <c r="J89" s="185">
        <f t="shared" si="2"/>
        <v>58.294489051078315</v>
      </c>
      <c r="K89" s="192">
        <f t="shared" si="11"/>
        <v>65.826458492374414</v>
      </c>
      <c r="L89" s="191">
        <f t="shared" si="24"/>
        <v>-7.5319694412960985</v>
      </c>
      <c r="M89" s="188">
        <f t="shared" si="26"/>
        <v>-0.61734222606602851</v>
      </c>
      <c r="N89" s="189">
        <f t="shared" si="27"/>
        <v>-8.1493116673621273</v>
      </c>
      <c r="O89" s="188">
        <v>0</v>
      </c>
      <c r="P89" s="188">
        <v>0</v>
      </c>
      <c r="Q89" s="188">
        <v>0</v>
      </c>
      <c r="R89" s="189">
        <f t="shared" si="28"/>
        <v>-8.1493116673621273</v>
      </c>
    </row>
    <row r="90" spans="1:18" x14ac:dyDescent="0.25">
      <c r="A90" s="146">
        <v>11</v>
      </c>
      <c r="B90" s="181">
        <f t="shared" si="4"/>
        <v>45231</v>
      </c>
      <c r="C90" s="201">
        <f t="shared" si="23"/>
        <v>45266</v>
      </c>
      <c r="D90" s="201">
        <f t="shared" si="23"/>
        <v>45285</v>
      </c>
      <c r="E90" s="52" t="s">
        <v>9</v>
      </c>
      <c r="F90" s="146">
        <v>9</v>
      </c>
      <c r="G90" s="183">
        <v>54</v>
      </c>
      <c r="H90" s="184">
        <f t="shared" si="25"/>
        <v>1.371384551924467</v>
      </c>
      <c r="I90" s="184">
        <f t="shared" si="20"/>
        <v>1.2144685218974649</v>
      </c>
      <c r="J90" s="185">
        <f t="shared" si="2"/>
        <v>65.58130018246311</v>
      </c>
      <c r="K90" s="192">
        <f t="shared" si="11"/>
        <v>74.054765803921214</v>
      </c>
      <c r="L90" s="191">
        <f t="shared" si="24"/>
        <v>-8.4734656214581037</v>
      </c>
      <c r="M90" s="188">
        <f t="shared" si="26"/>
        <v>-0.69451000432428212</v>
      </c>
      <c r="N90" s="189">
        <f t="shared" si="27"/>
        <v>-9.1679756257823861</v>
      </c>
      <c r="O90" s="188">
        <v>0</v>
      </c>
      <c r="P90" s="188">
        <v>0</v>
      </c>
      <c r="Q90" s="188">
        <v>0</v>
      </c>
      <c r="R90" s="189">
        <f t="shared" si="28"/>
        <v>-9.1679756257823861</v>
      </c>
    </row>
    <row r="91" spans="1:18" s="205" customFormat="1" x14ac:dyDescent="0.25">
      <c r="A91" s="146">
        <v>12</v>
      </c>
      <c r="B91" s="203">
        <f t="shared" si="4"/>
        <v>45261</v>
      </c>
      <c r="C91" s="201">
        <f t="shared" si="23"/>
        <v>45294</v>
      </c>
      <c r="D91" s="201">
        <f t="shared" si="23"/>
        <v>45315</v>
      </c>
      <c r="E91" s="204" t="s">
        <v>9</v>
      </c>
      <c r="F91" s="157">
        <v>9</v>
      </c>
      <c r="G91" s="183">
        <v>55</v>
      </c>
      <c r="H91" s="193">
        <f t="shared" si="25"/>
        <v>1.371384551924467</v>
      </c>
      <c r="I91" s="193">
        <f t="shared" si="20"/>
        <v>1.2144685218974649</v>
      </c>
      <c r="J91" s="194">
        <f t="shared" si="2"/>
        <v>66.795768704360569</v>
      </c>
      <c r="K91" s="195">
        <f t="shared" si="11"/>
        <v>75.426150355845678</v>
      </c>
      <c r="L91" s="196">
        <f t="shared" si="24"/>
        <v>-8.6303816514851093</v>
      </c>
      <c r="M91" s="188">
        <f t="shared" si="26"/>
        <v>-0.70737130070065768</v>
      </c>
      <c r="N91" s="189">
        <f t="shared" si="27"/>
        <v>-9.3377529521857667</v>
      </c>
      <c r="O91" s="188">
        <v>0</v>
      </c>
      <c r="P91" s="188">
        <v>0</v>
      </c>
      <c r="Q91" s="188">
        <v>0</v>
      </c>
      <c r="R91" s="189">
        <f t="shared" si="28"/>
        <v>-9.3377529521857667</v>
      </c>
    </row>
    <row r="92" spans="1:18" x14ac:dyDescent="0.25">
      <c r="A92" s="110">
        <v>1</v>
      </c>
      <c r="B92" s="181">
        <f t="shared" si="4"/>
        <v>44927</v>
      </c>
      <c r="C92" s="198">
        <f t="shared" ref="C92:D95" si="29">+C80</f>
        <v>44960</v>
      </c>
      <c r="D92" s="198">
        <f t="shared" si="29"/>
        <v>44981</v>
      </c>
      <c r="E92" s="182" t="s">
        <v>8</v>
      </c>
      <c r="F92" s="110">
        <v>9</v>
      </c>
      <c r="G92" s="183">
        <v>84</v>
      </c>
      <c r="H92" s="184">
        <f t="shared" si="25"/>
        <v>1.371384551924467</v>
      </c>
      <c r="I92" s="184">
        <f t="shared" si="20"/>
        <v>1.2144685218974649</v>
      </c>
      <c r="J92" s="185">
        <f t="shared" si="2"/>
        <v>102.01535583938706</v>
      </c>
      <c r="K92" s="186">
        <f t="shared" si="11"/>
        <v>115.19630236165523</v>
      </c>
      <c r="L92" s="187">
        <f t="shared" si="24"/>
        <v>-13.180946522268172</v>
      </c>
      <c r="M92" s="188">
        <f t="shared" si="26"/>
        <v>-1.0803488956155498</v>
      </c>
      <c r="N92" s="189">
        <f t="shared" si="27"/>
        <v>-14.261295417883723</v>
      </c>
      <c r="O92" s="188">
        <v>0</v>
      </c>
      <c r="P92" s="188">
        <v>0</v>
      </c>
      <c r="Q92" s="188">
        <v>0</v>
      </c>
      <c r="R92" s="189">
        <f t="shared" si="28"/>
        <v>-14.261295417883723</v>
      </c>
    </row>
    <row r="93" spans="1:18" x14ac:dyDescent="0.25">
      <c r="A93" s="146">
        <v>2</v>
      </c>
      <c r="B93" s="181">
        <f t="shared" si="4"/>
        <v>44958</v>
      </c>
      <c r="C93" s="201">
        <f t="shared" si="29"/>
        <v>44988</v>
      </c>
      <c r="D93" s="201">
        <f t="shared" si="29"/>
        <v>45009</v>
      </c>
      <c r="E93" s="190" t="s">
        <v>8</v>
      </c>
      <c r="F93" s="146">
        <v>9</v>
      </c>
      <c r="G93" s="183">
        <v>83</v>
      </c>
      <c r="H93" s="184">
        <f t="shared" si="25"/>
        <v>1.371384551924467</v>
      </c>
      <c r="I93" s="184">
        <f t="shared" si="20"/>
        <v>1.2144685218974649</v>
      </c>
      <c r="J93" s="185">
        <f t="shared" si="2"/>
        <v>100.80088731748958</v>
      </c>
      <c r="K93" s="186">
        <f t="shared" si="11"/>
        <v>113.82491780973076</v>
      </c>
      <c r="L93" s="187">
        <f t="shared" si="24"/>
        <v>-13.024030492241181</v>
      </c>
      <c r="M93" s="188">
        <f t="shared" si="26"/>
        <v>-1.0674875992391741</v>
      </c>
      <c r="N93" s="189">
        <f t="shared" si="27"/>
        <v>-14.091518091480355</v>
      </c>
      <c r="O93" s="188">
        <v>0</v>
      </c>
      <c r="P93" s="188">
        <v>0</v>
      </c>
      <c r="Q93" s="188">
        <v>0</v>
      </c>
      <c r="R93" s="189">
        <f t="shared" si="28"/>
        <v>-14.091518091480355</v>
      </c>
    </row>
    <row r="94" spans="1:18" x14ac:dyDescent="0.25">
      <c r="A94" s="146">
        <v>3</v>
      </c>
      <c r="B94" s="181">
        <f t="shared" si="4"/>
        <v>44986</v>
      </c>
      <c r="C94" s="201">
        <f t="shared" si="29"/>
        <v>45021</v>
      </c>
      <c r="D94" s="201">
        <f t="shared" si="29"/>
        <v>45040</v>
      </c>
      <c r="E94" s="190" t="s">
        <v>8</v>
      </c>
      <c r="F94" s="146">
        <v>9</v>
      </c>
      <c r="G94" s="183">
        <v>76</v>
      </c>
      <c r="H94" s="184">
        <f t="shared" si="25"/>
        <v>1.371384551924467</v>
      </c>
      <c r="I94" s="184">
        <f t="shared" si="20"/>
        <v>1.2144685218974649</v>
      </c>
      <c r="J94" s="185">
        <f t="shared" si="2"/>
        <v>92.299607664207329</v>
      </c>
      <c r="K94" s="186">
        <f t="shared" ref="K94:K133" si="30">+$G94*H94</f>
        <v>104.22522594625948</v>
      </c>
      <c r="L94" s="187">
        <f>+J94-K94</f>
        <v>-11.925618282052156</v>
      </c>
      <c r="M94" s="188">
        <f t="shared" si="26"/>
        <v>-0.97745852460454519</v>
      </c>
      <c r="N94" s="189">
        <f t="shared" si="27"/>
        <v>-12.903076806656701</v>
      </c>
      <c r="O94" s="188">
        <v>0</v>
      </c>
      <c r="P94" s="188">
        <v>0</v>
      </c>
      <c r="Q94" s="188">
        <v>0</v>
      </c>
      <c r="R94" s="189">
        <f t="shared" si="28"/>
        <v>-12.903076806656701</v>
      </c>
    </row>
    <row r="95" spans="1:18" x14ac:dyDescent="0.25">
      <c r="A95" s="110">
        <v>4</v>
      </c>
      <c r="B95" s="181">
        <f t="shared" si="4"/>
        <v>45017</v>
      </c>
      <c r="C95" s="201">
        <f t="shared" si="29"/>
        <v>45049</v>
      </c>
      <c r="D95" s="201">
        <f t="shared" si="29"/>
        <v>45070</v>
      </c>
      <c r="E95" s="190" t="s">
        <v>8</v>
      </c>
      <c r="F95" s="146">
        <v>9</v>
      </c>
      <c r="G95" s="183">
        <v>69</v>
      </c>
      <c r="H95" s="184">
        <f t="shared" si="25"/>
        <v>1.371384551924467</v>
      </c>
      <c r="I95" s="184">
        <f t="shared" si="20"/>
        <v>1.2144685218974649</v>
      </c>
      <c r="J95" s="185">
        <f t="shared" si="2"/>
        <v>83.798328010925076</v>
      </c>
      <c r="K95" s="186">
        <f t="shared" si="30"/>
        <v>94.625534082788221</v>
      </c>
      <c r="L95" s="187">
        <f t="shared" ref="L95:L105" si="31">+J95-K95</f>
        <v>-10.827206071863145</v>
      </c>
      <c r="M95" s="188">
        <f t="shared" si="26"/>
        <v>-0.88742944996991591</v>
      </c>
      <c r="N95" s="189">
        <f t="shared" si="27"/>
        <v>-11.714635521833062</v>
      </c>
      <c r="O95" s="188">
        <v>0</v>
      </c>
      <c r="P95" s="188">
        <v>0</v>
      </c>
      <c r="Q95" s="188">
        <v>0</v>
      </c>
      <c r="R95" s="189">
        <f t="shared" si="28"/>
        <v>-11.714635521833062</v>
      </c>
    </row>
    <row r="96" spans="1:18" x14ac:dyDescent="0.25">
      <c r="A96" s="146">
        <v>5</v>
      </c>
      <c r="B96" s="181">
        <f t="shared" si="4"/>
        <v>45047</v>
      </c>
      <c r="C96" s="201">
        <f t="shared" ref="C96:D116" si="32">+C84</f>
        <v>45082</v>
      </c>
      <c r="D96" s="201">
        <f t="shared" si="32"/>
        <v>45103</v>
      </c>
      <c r="E96" s="52" t="s">
        <v>8</v>
      </c>
      <c r="F96" s="146">
        <v>9</v>
      </c>
      <c r="G96" s="183">
        <v>99</v>
      </c>
      <c r="H96" s="184">
        <f t="shared" si="25"/>
        <v>1.371384551924467</v>
      </c>
      <c r="I96" s="184">
        <f t="shared" si="20"/>
        <v>1.2144685218974649</v>
      </c>
      <c r="J96" s="185">
        <f t="shared" si="2"/>
        <v>120.23238366784902</v>
      </c>
      <c r="K96" s="186">
        <f t="shared" si="30"/>
        <v>135.76707064052223</v>
      </c>
      <c r="L96" s="187">
        <f t="shared" si="31"/>
        <v>-15.534686972673214</v>
      </c>
      <c r="M96" s="188">
        <f t="shared" si="26"/>
        <v>-1.2732683412611838</v>
      </c>
      <c r="N96" s="189">
        <f t="shared" si="27"/>
        <v>-16.807955313934396</v>
      </c>
      <c r="O96" s="188">
        <v>0</v>
      </c>
      <c r="P96" s="188">
        <v>0</v>
      </c>
      <c r="Q96" s="188">
        <v>0</v>
      </c>
      <c r="R96" s="189">
        <f t="shared" si="28"/>
        <v>-16.807955313934396</v>
      </c>
    </row>
    <row r="97" spans="1:18" x14ac:dyDescent="0.25">
      <c r="A97" s="146">
        <v>6</v>
      </c>
      <c r="B97" s="181">
        <f t="shared" si="4"/>
        <v>45078</v>
      </c>
      <c r="C97" s="201">
        <f t="shared" si="32"/>
        <v>45112</v>
      </c>
      <c r="D97" s="201">
        <f t="shared" si="32"/>
        <v>45131</v>
      </c>
      <c r="E97" s="52" t="s">
        <v>8</v>
      </c>
      <c r="F97" s="146">
        <v>9</v>
      </c>
      <c r="G97" s="183">
        <v>149</v>
      </c>
      <c r="H97" s="184">
        <f t="shared" si="25"/>
        <v>1.371384551924467</v>
      </c>
      <c r="I97" s="184">
        <f t="shared" si="20"/>
        <v>1.2144685218974649</v>
      </c>
      <c r="J97" s="185">
        <f t="shared" si="2"/>
        <v>180.95580976272228</v>
      </c>
      <c r="K97" s="186">
        <f t="shared" si="30"/>
        <v>204.33629823674556</v>
      </c>
      <c r="L97" s="191">
        <f t="shared" si="31"/>
        <v>-23.380488474023281</v>
      </c>
      <c r="M97" s="188">
        <f t="shared" si="26"/>
        <v>-1.9163331600799633</v>
      </c>
      <c r="N97" s="189">
        <f t="shared" si="27"/>
        <v>-25.296821634103246</v>
      </c>
      <c r="O97" s="188">
        <v>0</v>
      </c>
      <c r="P97" s="188">
        <v>0</v>
      </c>
      <c r="Q97" s="188">
        <v>0</v>
      </c>
      <c r="R97" s="189">
        <f t="shared" si="28"/>
        <v>-25.296821634103246</v>
      </c>
    </row>
    <row r="98" spans="1:18" x14ac:dyDescent="0.25">
      <c r="A98" s="110">
        <v>7</v>
      </c>
      <c r="B98" s="181">
        <f t="shared" si="4"/>
        <v>45108</v>
      </c>
      <c r="C98" s="201">
        <f t="shared" si="32"/>
        <v>45141</v>
      </c>
      <c r="D98" s="201">
        <f t="shared" si="32"/>
        <v>45162</v>
      </c>
      <c r="E98" s="52" t="s">
        <v>8</v>
      </c>
      <c r="F98" s="146">
        <v>9</v>
      </c>
      <c r="G98" s="183">
        <v>148</v>
      </c>
      <c r="H98" s="184">
        <f t="shared" si="25"/>
        <v>1.371384551924467</v>
      </c>
      <c r="I98" s="184">
        <f t="shared" si="20"/>
        <v>1.2144685218974649</v>
      </c>
      <c r="J98" s="185">
        <f t="shared" si="2"/>
        <v>179.7413412408248</v>
      </c>
      <c r="K98" s="192">
        <f t="shared" si="30"/>
        <v>202.96491368482111</v>
      </c>
      <c r="L98" s="191">
        <f t="shared" si="31"/>
        <v>-23.223572443996318</v>
      </c>
      <c r="M98" s="188">
        <f t="shared" si="26"/>
        <v>-1.9034718637035877</v>
      </c>
      <c r="N98" s="189">
        <f t="shared" si="27"/>
        <v>-25.127044307699904</v>
      </c>
      <c r="O98" s="188">
        <v>0</v>
      </c>
      <c r="P98" s="188">
        <v>0</v>
      </c>
      <c r="Q98" s="188">
        <v>0</v>
      </c>
      <c r="R98" s="189">
        <f t="shared" si="28"/>
        <v>-25.127044307699904</v>
      </c>
    </row>
    <row r="99" spans="1:18" x14ac:dyDescent="0.25">
      <c r="A99" s="146">
        <v>8</v>
      </c>
      <c r="B99" s="181">
        <f t="shared" si="4"/>
        <v>45139</v>
      </c>
      <c r="C99" s="201">
        <f t="shared" si="32"/>
        <v>45174</v>
      </c>
      <c r="D99" s="201">
        <f t="shared" si="32"/>
        <v>45194</v>
      </c>
      <c r="E99" s="52" t="s">
        <v>8</v>
      </c>
      <c r="F99" s="146">
        <v>9</v>
      </c>
      <c r="G99" s="183">
        <v>160</v>
      </c>
      <c r="H99" s="184">
        <f t="shared" si="25"/>
        <v>1.371384551924467</v>
      </c>
      <c r="I99" s="184">
        <f t="shared" si="20"/>
        <v>1.2144685218974649</v>
      </c>
      <c r="J99" s="185">
        <f t="shared" si="2"/>
        <v>194.31496350359438</v>
      </c>
      <c r="K99" s="192">
        <f t="shared" si="30"/>
        <v>219.42152830791471</v>
      </c>
      <c r="L99" s="191">
        <f t="shared" si="31"/>
        <v>-25.106564804320328</v>
      </c>
      <c r="M99" s="188">
        <f t="shared" si="26"/>
        <v>-2.0578074202200951</v>
      </c>
      <c r="N99" s="189">
        <f t="shared" si="27"/>
        <v>-27.164372224540422</v>
      </c>
      <c r="O99" s="188">
        <v>0</v>
      </c>
      <c r="P99" s="188">
        <v>0</v>
      </c>
      <c r="Q99" s="188">
        <v>0</v>
      </c>
      <c r="R99" s="189">
        <f t="shared" si="28"/>
        <v>-27.164372224540422</v>
      </c>
    </row>
    <row r="100" spans="1:18" x14ac:dyDescent="0.25">
      <c r="A100" s="146">
        <v>9</v>
      </c>
      <c r="B100" s="181">
        <f t="shared" si="4"/>
        <v>45170</v>
      </c>
      <c r="C100" s="201">
        <f t="shared" si="32"/>
        <v>45203</v>
      </c>
      <c r="D100" s="201">
        <f t="shared" si="32"/>
        <v>45223</v>
      </c>
      <c r="E100" s="52" t="s">
        <v>8</v>
      </c>
      <c r="F100" s="146">
        <v>9</v>
      </c>
      <c r="G100" s="183">
        <v>155</v>
      </c>
      <c r="H100" s="184">
        <f t="shared" si="25"/>
        <v>1.371384551924467</v>
      </c>
      <c r="I100" s="184">
        <f t="shared" si="20"/>
        <v>1.2144685218974649</v>
      </c>
      <c r="J100" s="185">
        <f t="shared" si="2"/>
        <v>188.24262089410706</v>
      </c>
      <c r="K100" s="192">
        <f t="shared" si="30"/>
        <v>212.56460554829238</v>
      </c>
      <c r="L100" s="191">
        <f t="shared" si="31"/>
        <v>-24.321984654185314</v>
      </c>
      <c r="M100" s="188">
        <f t="shared" si="26"/>
        <v>-1.993500938338217</v>
      </c>
      <c r="N100" s="189">
        <f t="shared" si="27"/>
        <v>-26.31548559252353</v>
      </c>
      <c r="O100" s="188">
        <v>0</v>
      </c>
      <c r="P100" s="188">
        <v>0</v>
      </c>
      <c r="Q100" s="188">
        <v>0</v>
      </c>
      <c r="R100" s="189">
        <f t="shared" si="28"/>
        <v>-26.31548559252353</v>
      </c>
    </row>
    <row r="101" spans="1:18" x14ac:dyDescent="0.25">
      <c r="A101" s="110">
        <v>10</v>
      </c>
      <c r="B101" s="181">
        <f t="shared" si="4"/>
        <v>45200</v>
      </c>
      <c r="C101" s="201">
        <f t="shared" si="32"/>
        <v>45233</v>
      </c>
      <c r="D101" s="201">
        <f t="shared" si="32"/>
        <v>45254</v>
      </c>
      <c r="E101" s="52" t="s">
        <v>8</v>
      </c>
      <c r="F101" s="146">
        <v>9</v>
      </c>
      <c r="G101" s="183">
        <v>110</v>
      </c>
      <c r="H101" s="184">
        <f t="shared" si="25"/>
        <v>1.371384551924467</v>
      </c>
      <c r="I101" s="184">
        <f t="shared" si="20"/>
        <v>1.2144685218974649</v>
      </c>
      <c r="J101" s="185">
        <f t="shared" si="2"/>
        <v>133.59153740872114</v>
      </c>
      <c r="K101" s="192">
        <f t="shared" si="30"/>
        <v>150.85230071169136</v>
      </c>
      <c r="L101" s="191">
        <f t="shared" si="31"/>
        <v>-17.260763302970219</v>
      </c>
      <c r="M101" s="188">
        <f t="shared" si="26"/>
        <v>-1.4147426014013154</v>
      </c>
      <c r="N101" s="189">
        <f t="shared" si="27"/>
        <v>-18.675505904371533</v>
      </c>
      <c r="O101" s="188">
        <v>0</v>
      </c>
      <c r="P101" s="188">
        <v>0</v>
      </c>
      <c r="Q101" s="188">
        <v>0</v>
      </c>
      <c r="R101" s="189">
        <f t="shared" si="28"/>
        <v>-18.675505904371533</v>
      </c>
    </row>
    <row r="102" spans="1:18" x14ac:dyDescent="0.25">
      <c r="A102" s="146">
        <v>11</v>
      </c>
      <c r="B102" s="181">
        <f t="shared" si="4"/>
        <v>45231</v>
      </c>
      <c r="C102" s="201">
        <f t="shared" si="32"/>
        <v>45266</v>
      </c>
      <c r="D102" s="201">
        <f t="shared" si="32"/>
        <v>45285</v>
      </c>
      <c r="E102" s="52" t="s">
        <v>8</v>
      </c>
      <c r="F102" s="146">
        <v>9</v>
      </c>
      <c r="G102" s="183">
        <v>70</v>
      </c>
      <c r="H102" s="184">
        <f t="shared" si="25"/>
        <v>1.371384551924467</v>
      </c>
      <c r="I102" s="184">
        <f t="shared" si="20"/>
        <v>1.2144685218974649</v>
      </c>
      <c r="J102" s="185">
        <f t="shared" si="2"/>
        <v>85.012796532822549</v>
      </c>
      <c r="K102" s="192">
        <f t="shared" si="30"/>
        <v>95.996918634712685</v>
      </c>
      <c r="L102" s="191">
        <f t="shared" si="31"/>
        <v>-10.984122101890136</v>
      </c>
      <c r="M102" s="188">
        <f t="shared" si="26"/>
        <v>-0.90029074634629158</v>
      </c>
      <c r="N102" s="189">
        <f t="shared" si="27"/>
        <v>-11.884412848236428</v>
      </c>
      <c r="O102" s="188">
        <v>0</v>
      </c>
      <c r="P102" s="188">
        <v>0</v>
      </c>
      <c r="Q102" s="188">
        <v>0</v>
      </c>
      <c r="R102" s="189">
        <f t="shared" si="28"/>
        <v>-11.884412848236428</v>
      </c>
    </row>
    <row r="103" spans="1:18" s="205" customFormat="1" x14ac:dyDescent="0.25">
      <c r="A103" s="146">
        <v>12</v>
      </c>
      <c r="B103" s="203">
        <f t="shared" si="4"/>
        <v>45261</v>
      </c>
      <c r="C103" s="201">
        <f t="shared" si="32"/>
        <v>45294</v>
      </c>
      <c r="D103" s="201">
        <f t="shared" si="32"/>
        <v>45315</v>
      </c>
      <c r="E103" s="204" t="s">
        <v>8</v>
      </c>
      <c r="F103" s="157">
        <v>9</v>
      </c>
      <c r="G103" s="183">
        <v>66</v>
      </c>
      <c r="H103" s="193">
        <f t="shared" si="25"/>
        <v>1.371384551924467</v>
      </c>
      <c r="I103" s="193">
        <f t="shared" si="20"/>
        <v>1.2144685218974649</v>
      </c>
      <c r="J103" s="194">
        <f t="shared" si="2"/>
        <v>80.154922445232685</v>
      </c>
      <c r="K103" s="195">
        <f t="shared" si="30"/>
        <v>90.511380427014814</v>
      </c>
      <c r="L103" s="196">
        <f t="shared" si="31"/>
        <v>-10.356457981782128</v>
      </c>
      <c r="M103" s="188">
        <f t="shared" si="26"/>
        <v>-0.84884556084078922</v>
      </c>
      <c r="N103" s="189">
        <f t="shared" si="27"/>
        <v>-11.205303542622918</v>
      </c>
      <c r="O103" s="188">
        <v>0</v>
      </c>
      <c r="P103" s="188">
        <v>0</v>
      </c>
      <c r="Q103" s="188">
        <v>0</v>
      </c>
      <c r="R103" s="189">
        <f t="shared" si="28"/>
        <v>-11.205303542622918</v>
      </c>
    </row>
    <row r="104" spans="1:18" x14ac:dyDescent="0.25">
      <c r="A104" s="110">
        <v>1</v>
      </c>
      <c r="B104" s="181">
        <f t="shared" si="4"/>
        <v>44927</v>
      </c>
      <c r="C104" s="198">
        <f t="shared" si="32"/>
        <v>44960</v>
      </c>
      <c r="D104" s="198">
        <f t="shared" si="32"/>
        <v>44981</v>
      </c>
      <c r="E104" s="182" t="s">
        <v>19</v>
      </c>
      <c r="F104" s="110">
        <v>9</v>
      </c>
      <c r="G104" s="183">
        <v>63</v>
      </c>
      <c r="H104" s="184">
        <f t="shared" si="25"/>
        <v>1.371384551924467</v>
      </c>
      <c r="I104" s="184">
        <f t="shared" si="20"/>
        <v>1.2144685218974649</v>
      </c>
      <c r="J104" s="185">
        <f t="shared" si="2"/>
        <v>76.511516879540295</v>
      </c>
      <c r="K104" s="186">
        <f t="shared" si="30"/>
        <v>86.397226771241421</v>
      </c>
      <c r="L104" s="187">
        <f t="shared" si="31"/>
        <v>-9.8857098917011257</v>
      </c>
      <c r="M104" s="188">
        <f t="shared" si="26"/>
        <v>-0.8102616717116623</v>
      </c>
      <c r="N104" s="189">
        <f t="shared" si="27"/>
        <v>-10.695971563412789</v>
      </c>
      <c r="O104" s="188">
        <v>0</v>
      </c>
      <c r="P104" s="188">
        <v>0</v>
      </c>
      <c r="Q104" s="188">
        <v>0</v>
      </c>
      <c r="R104" s="189">
        <f t="shared" si="28"/>
        <v>-10.695971563412789</v>
      </c>
    </row>
    <row r="105" spans="1:18" x14ac:dyDescent="0.25">
      <c r="A105" s="146">
        <v>2</v>
      </c>
      <c r="B105" s="181">
        <f t="shared" si="4"/>
        <v>44958</v>
      </c>
      <c r="C105" s="201">
        <f t="shared" si="32"/>
        <v>44988</v>
      </c>
      <c r="D105" s="201">
        <f t="shared" si="32"/>
        <v>45009</v>
      </c>
      <c r="E105" s="190" t="s">
        <v>19</v>
      </c>
      <c r="F105" s="146">
        <v>9</v>
      </c>
      <c r="G105" s="183">
        <v>63</v>
      </c>
      <c r="H105" s="184">
        <f t="shared" si="25"/>
        <v>1.371384551924467</v>
      </c>
      <c r="I105" s="184">
        <f t="shared" si="20"/>
        <v>1.2144685218974649</v>
      </c>
      <c r="J105" s="185">
        <f t="shared" si="2"/>
        <v>76.511516879540295</v>
      </c>
      <c r="K105" s="186">
        <f t="shared" si="30"/>
        <v>86.397226771241421</v>
      </c>
      <c r="L105" s="187">
        <f t="shared" si="31"/>
        <v>-9.8857098917011257</v>
      </c>
      <c r="M105" s="188">
        <f t="shared" si="26"/>
        <v>-0.8102616717116623</v>
      </c>
      <c r="N105" s="189">
        <f t="shared" si="27"/>
        <v>-10.695971563412789</v>
      </c>
      <c r="O105" s="188">
        <v>0</v>
      </c>
      <c r="P105" s="188">
        <v>0</v>
      </c>
      <c r="Q105" s="188">
        <v>0</v>
      </c>
      <c r="R105" s="189">
        <f t="shared" si="28"/>
        <v>-10.695971563412789</v>
      </c>
    </row>
    <row r="106" spans="1:18" x14ac:dyDescent="0.25">
      <c r="A106" s="146">
        <v>3</v>
      </c>
      <c r="B106" s="181">
        <f t="shared" si="4"/>
        <v>44986</v>
      </c>
      <c r="C106" s="201">
        <f t="shared" si="32"/>
        <v>45021</v>
      </c>
      <c r="D106" s="201">
        <f t="shared" si="32"/>
        <v>45040</v>
      </c>
      <c r="E106" s="190" t="s">
        <v>19</v>
      </c>
      <c r="F106" s="146">
        <v>9</v>
      </c>
      <c r="G106" s="183">
        <v>67</v>
      </c>
      <c r="H106" s="184">
        <f t="shared" si="25"/>
        <v>1.371384551924467</v>
      </c>
      <c r="I106" s="184">
        <f t="shared" si="20"/>
        <v>1.2144685218974649</v>
      </c>
      <c r="J106" s="185">
        <f t="shared" si="2"/>
        <v>81.369390967130144</v>
      </c>
      <c r="K106" s="186">
        <f t="shared" si="30"/>
        <v>91.882764978939292</v>
      </c>
      <c r="L106" s="187">
        <f>+J106-K106</f>
        <v>-10.513374011809148</v>
      </c>
      <c r="M106" s="188">
        <f t="shared" si="26"/>
        <v>-0.86170685721716478</v>
      </c>
      <c r="N106" s="189">
        <f t="shared" si="27"/>
        <v>-11.375080869026313</v>
      </c>
      <c r="O106" s="188">
        <v>0</v>
      </c>
      <c r="P106" s="188">
        <v>0</v>
      </c>
      <c r="Q106" s="188">
        <v>0</v>
      </c>
      <c r="R106" s="189">
        <f t="shared" si="28"/>
        <v>-11.375080869026313</v>
      </c>
    </row>
    <row r="107" spans="1:18" x14ac:dyDescent="0.25">
      <c r="A107" s="110">
        <v>4</v>
      </c>
      <c r="B107" s="181">
        <f t="shared" si="4"/>
        <v>45017</v>
      </c>
      <c r="C107" s="201">
        <f t="shared" si="32"/>
        <v>45049</v>
      </c>
      <c r="D107" s="201">
        <f t="shared" si="32"/>
        <v>45070</v>
      </c>
      <c r="E107" s="52" t="s">
        <v>19</v>
      </c>
      <c r="F107" s="146">
        <v>9</v>
      </c>
      <c r="G107" s="183">
        <v>62</v>
      </c>
      <c r="H107" s="184">
        <f t="shared" si="25"/>
        <v>1.371384551924467</v>
      </c>
      <c r="I107" s="184">
        <f t="shared" si="20"/>
        <v>1.2144685218974649</v>
      </c>
      <c r="J107" s="185">
        <f t="shared" si="2"/>
        <v>75.297048357642822</v>
      </c>
      <c r="K107" s="186">
        <f t="shared" si="30"/>
        <v>85.025842219316957</v>
      </c>
      <c r="L107" s="187">
        <f t="shared" ref="L107:L115" si="33">+J107-K107</f>
        <v>-9.7287938616741343</v>
      </c>
      <c r="M107" s="188">
        <f t="shared" si="26"/>
        <v>-0.79740037533528674</v>
      </c>
      <c r="N107" s="189">
        <f t="shared" si="27"/>
        <v>-10.52619423700942</v>
      </c>
      <c r="O107" s="188">
        <v>0</v>
      </c>
      <c r="P107" s="188">
        <v>0</v>
      </c>
      <c r="Q107" s="188">
        <v>0</v>
      </c>
      <c r="R107" s="189">
        <f t="shared" si="28"/>
        <v>-10.52619423700942</v>
      </c>
    </row>
    <row r="108" spans="1:18" x14ac:dyDescent="0.25">
      <c r="A108" s="146">
        <v>5</v>
      </c>
      <c r="B108" s="181">
        <f t="shared" si="4"/>
        <v>45047</v>
      </c>
      <c r="C108" s="201">
        <f t="shared" si="32"/>
        <v>45082</v>
      </c>
      <c r="D108" s="201">
        <f t="shared" si="32"/>
        <v>45103</v>
      </c>
      <c r="E108" s="52" t="s">
        <v>19</v>
      </c>
      <c r="F108" s="146">
        <v>9</v>
      </c>
      <c r="G108" s="183">
        <v>51</v>
      </c>
      <c r="H108" s="184">
        <f t="shared" si="25"/>
        <v>1.371384551924467</v>
      </c>
      <c r="I108" s="184">
        <f t="shared" ref="I108:I127" si="34">$J$3</f>
        <v>1.2144685218974649</v>
      </c>
      <c r="J108" s="185">
        <f t="shared" si="2"/>
        <v>61.937894616770713</v>
      </c>
      <c r="K108" s="186">
        <f t="shared" si="30"/>
        <v>69.940612148147821</v>
      </c>
      <c r="L108" s="187">
        <f t="shared" si="33"/>
        <v>-8.0027175313771082</v>
      </c>
      <c r="M108" s="188">
        <f t="shared" si="26"/>
        <v>-0.6559261151951552</v>
      </c>
      <c r="N108" s="189">
        <f t="shared" si="27"/>
        <v>-8.6586436465722638</v>
      </c>
      <c r="O108" s="188">
        <v>0</v>
      </c>
      <c r="P108" s="188">
        <v>0</v>
      </c>
      <c r="Q108" s="188">
        <v>0</v>
      </c>
      <c r="R108" s="189">
        <f t="shared" si="28"/>
        <v>-8.6586436465722638</v>
      </c>
    </row>
    <row r="109" spans="1:18" x14ac:dyDescent="0.25">
      <c r="A109" s="146">
        <v>6</v>
      </c>
      <c r="B109" s="181">
        <f t="shared" ref="B109:B148" si="35">DATE($R$1,A109,1)</f>
        <v>45078</v>
      </c>
      <c r="C109" s="201">
        <f t="shared" si="32"/>
        <v>45112</v>
      </c>
      <c r="D109" s="201">
        <f t="shared" si="32"/>
        <v>45131</v>
      </c>
      <c r="E109" s="52" t="s">
        <v>19</v>
      </c>
      <c r="F109" s="146">
        <v>9</v>
      </c>
      <c r="G109" s="183">
        <v>67</v>
      </c>
      <c r="H109" s="184">
        <f t="shared" si="25"/>
        <v>1.371384551924467</v>
      </c>
      <c r="I109" s="184">
        <f t="shared" si="34"/>
        <v>1.2144685218974649</v>
      </c>
      <c r="J109" s="185">
        <f t="shared" ref="J109:J148" si="36">+$G109*I109</f>
        <v>81.369390967130144</v>
      </c>
      <c r="K109" s="186">
        <f t="shared" si="30"/>
        <v>91.882764978939292</v>
      </c>
      <c r="L109" s="191">
        <f t="shared" si="33"/>
        <v>-10.513374011809148</v>
      </c>
      <c r="M109" s="188">
        <f t="shared" si="26"/>
        <v>-0.86170685721716478</v>
      </c>
      <c r="N109" s="189">
        <f t="shared" si="27"/>
        <v>-11.375080869026313</v>
      </c>
      <c r="O109" s="188">
        <v>0</v>
      </c>
      <c r="P109" s="188">
        <v>0</v>
      </c>
      <c r="Q109" s="188">
        <v>0</v>
      </c>
      <c r="R109" s="189">
        <f t="shared" si="28"/>
        <v>-11.375080869026313</v>
      </c>
    </row>
    <row r="110" spans="1:18" x14ac:dyDescent="0.25">
      <c r="A110" s="110">
        <v>7</v>
      </c>
      <c r="B110" s="181">
        <f t="shared" si="35"/>
        <v>45108</v>
      </c>
      <c r="C110" s="201">
        <f t="shared" si="32"/>
        <v>45141</v>
      </c>
      <c r="D110" s="201">
        <f t="shared" si="32"/>
        <v>45162</v>
      </c>
      <c r="E110" s="52" t="s">
        <v>19</v>
      </c>
      <c r="F110" s="146">
        <v>9</v>
      </c>
      <c r="G110" s="183">
        <v>66</v>
      </c>
      <c r="H110" s="184">
        <f t="shared" si="25"/>
        <v>1.371384551924467</v>
      </c>
      <c r="I110" s="184">
        <f t="shared" si="34"/>
        <v>1.2144685218974649</v>
      </c>
      <c r="J110" s="185">
        <f t="shared" si="36"/>
        <v>80.154922445232685</v>
      </c>
      <c r="K110" s="192">
        <f t="shared" si="30"/>
        <v>90.511380427014814</v>
      </c>
      <c r="L110" s="191">
        <f t="shared" si="33"/>
        <v>-10.356457981782128</v>
      </c>
      <c r="M110" s="188">
        <f t="shared" si="26"/>
        <v>-0.84884556084078922</v>
      </c>
      <c r="N110" s="189">
        <f t="shared" si="27"/>
        <v>-11.205303542622918</v>
      </c>
      <c r="O110" s="188">
        <v>0</v>
      </c>
      <c r="P110" s="188">
        <v>0</v>
      </c>
      <c r="Q110" s="188">
        <v>0</v>
      </c>
      <c r="R110" s="189">
        <f t="shared" si="28"/>
        <v>-11.205303542622918</v>
      </c>
    </row>
    <row r="111" spans="1:18" x14ac:dyDescent="0.25">
      <c r="A111" s="146">
        <v>8</v>
      </c>
      <c r="B111" s="181">
        <f t="shared" si="35"/>
        <v>45139</v>
      </c>
      <c r="C111" s="201">
        <f t="shared" si="32"/>
        <v>45174</v>
      </c>
      <c r="D111" s="201">
        <f t="shared" si="32"/>
        <v>45194</v>
      </c>
      <c r="E111" s="52" t="s">
        <v>19</v>
      </c>
      <c r="F111" s="146">
        <v>9</v>
      </c>
      <c r="G111" s="183">
        <v>61</v>
      </c>
      <c r="H111" s="184">
        <f t="shared" si="25"/>
        <v>1.371384551924467</v>
      </c>
      <c r="I111" s="184">
        <f t="shared" si="34"/>
        <v>1.2144685218974649</v>
      </c>
      <c r="J111" s="185">
        <f t="shared" si="36"/>
        <v>74.082579835745364</v>
      </c>
      <c r="K111" s="192">
        <f t="shared" si="30"/>
        <v>83.654457667392478</v>
      </c>
      <c r="L111" s="191">
        <f t="shared" si="33"/>
        <v>-9.5718778316471145</v>
      </c>
      <c r="M111" s="188">
        <f t="shared" si="26"/>
        <v>-0.78453907895891117</v>
      </c>
      <c r="N111" s="189">
        <f t="shared" si="27"/>
        <v>-10.356416910606026</v>
      </c>
      <c r="O111" s="188">
        <v>0</v>
      </c>
      <c r="P111" s="188">
        <v>0</v>
      </c>
      <c r="Q111" s="188">
        <v>0</v>
      </c>
      <c r="R111" s="189">
        <f t="shared" si="28"/>
        <v>-10.356416910606026</v>
      </c>
    </row>
    <row r="112" spans="1:18" x14ac:dyDescent="0.25">
      <c r="A112" s="146">
        <v>9</v>
      </c>
      <c r="B112" s="181">
        <f t="shared" si="35"/>
        <v>45170</v>
      </c>
      <c r="C112" s="201">
        <f t="shared" si="32"/>
        <v>45203</v>
      </c>
      <c r="D112" s="201">
        <f t="shared" si="32"/>
        <v>45223</v>
      </c>
      <c r="E112" s="52" t="s">
        <v>19</v>
      </c>
      <c r="F112" s="146">
        <v>9</v>
      </c>
      <c r="G112" s="183">
        <v>55</v>
      </c>
      <c r="H112" s="184">
        <f t="shared" si="25"/>
        <v>1.371384551924467</v>
      </c>
      <c r="I112" s="184">
        <f t="shared" si="34"/>
        <v>1.2144685218974649</v>
      </c>
      <c r="J112" s="185">
        <f t="shared" si="36"/>
        <v>66.795768704360569</v>
      </c>
      <c r="K112" s="192">
        <f t="shared" si="30"/>
        <v>75.426150355845678</v>
      </c>
      <c r="L112" s="191">
        <f t="shared" si="33"/>
        <v>-8.6303816514851093</v>
      </c>
      <c r="M112" s="188">
        <f t="shared" si="26"/>
        <v>-0.70737130070065768</v>
      </c>
      <c r="N112" s="189">
        <f t="shared" si="27"/>
        <v>-9.3377529521857667</v>
      </c>
      <c r="O112" s="188">
        <v>0</v>
      </c>
      <c r="P112" s="188">
        <v>0</v>
      </c>
      <c r="Q112" s="188">
        <v>0</v>
      </c>
      <c r="R112" s="189">
        <f t="shared" si="28"/>
        <v>-9.3377529521857667</v>
      </c>
    </row>
    <row r="113" spans="1:18" x14ac:dyDescent="0.25">
      <c r="A113" s="110">
        <v>10</v>
      </c>
      <c r="B113" s="181">
        <f t="shared" si="35"/>
        <v>45200</v>
      </c>
      <c r="C113" s="201">
        <f t="shared" si="32"/>
        <v>45233</v>
      </c>
      <c r="D113" s="201">
        <f t="shared" si="32"/>
        <v>45254</v>
      </c>
      <c r="E113" s="52" t="s">
        <v>19</v>
      </c>
      <c r="F113" s="146">
        <v>9</v>
      </c>
      <c r="G113" s="183">
        <v>59</v>
      </c>
      <c r="H113" s="184">
        <f t="shared" si="25"/>
        <v>1.371384551924467</v>
      </c>
      <c r="I113" s="184">
        <f t="shared" si="34"/>
        <v>1.2144685218974649</v>
      </c>
      <c r="J113" s="185">
        <f t="shared" si="36"/>
        <v>71.653642791950432</v>
      </c>
      <c r="K113" s="192">
        <f t="shared" si="30"/>
        <v>80.911688563543549</v>
      </c>
      <c r="L113" s="191">
        <f t="shared" si="33"/>
        <v>-9.2580457715931175</v>
      </c>
      <c r="M113" s="188">
        <f t="shared" si="26"/>
        <v>-0.75881648620616005</v>
      </c>
      <c r="N113" s="189">
        <f t="shared" si="27"/>
        <v>-10.016862257799277</v>
      </c>
      <c r="O113" s="188">
        <v>0</v>
      </c>
      <c r="P113" s="188">
        <v>0</v>
      </c>
      <c r="Q113" s="188">
        <v>0</v>
      </c>
      <c r="R113" s="189">
        <f t="shared" si="28"/>
        <v>-10.016862257799277</v>
      </c>
    </row>
    <row r="114" spans="1:18" x14ac:dyDescent="0.25">
      <c r="A114" s="146">
        <v>11</v>
      </c>
      <c r="B114" s="181">
        <f t="shared" si="35"/>
        <v>45231</v>
      </c>
      <c r="C114" s="201">
        <f t="shared" si="32"/>
        <v>45266</v>
      </c>
      <c r="D114" s="201">
        <f t="shared" si="32"/>
        <v>45285</v>
      </c>
      <c r="E114" s="52" t="s">
        <v>19</v>
      </c>
      <c r="F114" s="146">
        <v>9</v>
      </c>
      <c r="G114" s="183">
        <v>63</v>
      </c>
      <c r="H114" s="184">
        <f t="shared" si="25"/>
        <v>1.371384551924467</v>
      </c>
      <c r="I114" s="184">
        <f t="shared" si="34"/>
        <v>1.2144685218974649</v>
      </c>
      <c r="J114" s="185">
        <f t="shared" si="36"/>
        <v>76.511516879540295</v>
      </c>
      <c r="K114" s="192">
        <f t="shared" si="30"/>
        <v>86.397226771241421</v>
      </c>
      <c r="L114" s="191">
        <f t="shared" si="33"/>
        <v>-9.8857098917011257</v>
      </c>
      <c r="M114" s="188">
        <f t="shared" si="26"/>
        <v>-0.8102616717116623</v>
      </c>
      <c r="N114" s="189">
        <f t="shared" si="27"/>
        <v>-10.695971563412789</v>
      </c>
      <c r="O114" s="188">
        <v>0</v>
      </c>
      <c r="P114" s="188">
        <v>0</v>
      </c>
      <c r="Q114" s="188">
        <v>0</v>
      </c>
      <c r="R114" s="189">
        <f t="shared" si="28"/>
        <v>-10.695971563412789</v>
      </c>
    </row>
    <row r="115" spans="1:18" s="205" customFormat="1" x14ac:dyDescent="0.25">
      <c r="A115" s="146">
        <v>12</v>
      </c>
      <c r="B115" s="203">
        <f t="shared" si="35"/>
        <v>45261</v>
      </c>
      <c r="C115" s="206">
        <f t="shared" si="32"/>
        <v>45294</v>
      </c>
      <c r="D115" s="206">
        <f t="shared" si="32"/>
        <v>45315</v>
      </c>
      <c r="E115" s="204" t="s">
        <v>19</v>
      </c>
      <c r="F115" s="157">
        <v>9</v>
      </c>
      <c r="G115" s="183">
        <v>63</v>
      </c>
      <c r="H115" s="193">
        <f t="shared" si="25"/>
        <v>1.371384551924467</v>
      </c>
      <c r="I115" s="193">
        <f t="shared" si="34"/>
        <v>1.2144685218974649</v>
      </c>
      <c r="J115" s="194">
        <f t="shared" si="36"/>
        <v>76.511516879540295</v>
      </c>
      <c r="K115" s="195">
        <f t="shared" si="30"/>
        <v>86.397226771241421</v>
      </c>
      <c r="L115" s="196">
        <f t="shared" si="33"/>
        <v>-9.8857098917011257</v>
      </c>
      <c r="M115" s="188">
        <f t="shared" si="26"/>
        <v>-0.8102616717116623</v>
      </c>
      <c r="N115" s="189">
        <f t="shared" si="27"/>
        <v>-10.695971563412789</v>
      </c>
      <c r="O115" s="188">
        <v>0</v>
      </c>
      <c r="P115" s="188">
        <v>0</v>
      </c>
      <c r="Q115" s="188">
        <v>0</v>
      </c>
      <c r="R115" s="189">
        <f t="shared" si="28"/>
        <v>-10.695971563412789</v>
      </c>
    </row>
    <row r="116" spans="1:18" x14ac:dyDescent="0.25">
      <c r="A116" s="110">
        <v>1</v>
      </c>
      <c r="B116" s="181">
        <f t="shared" si="35"/>
        <v>44927</v>
      </c>
      <c r="C116" s="201">
        <f t="shared" si="32"/>
        <v>44960</v>
      </c>
      <c r="D116" s="201">
        <f t="shared" si="32"/>
        <v>44981</v>
      </c>
      <c r="E116" s="182" t="s">
        <v>13</v>
      </c>
      <c r="F116" s="110">
        <v>9</v>
      </c>
      <c r="G116" s="183">
        <v>967</v>
      </c>
      <c r="H116" s="184">
        <f t="shared" si="25"/>
        <v>1.371384551924467</v>
      </c>
      <c r="I116" s="184">
        <f t="shared" si="34"/>
        <v>1.2144685218974649</v>
      </c>
      <c r="J116" s="185">
        <f t="shared" si="36"/>
        <v>1174.3910606748486</v>
      </c>
      <c r="K116" s="186">
        <f t="shared" si="30"/>
        <v>1326.1288617109597</v>
      </c>
      <c r="L116" s="187">
        <f>+J116-K116</f>
        <v>-151.73780103611102</v>
      </c>
      <c r="M116" s="188">
        <f t="shared" si="26"/>
        <v>-12.436873595955198</v>
      </c>
      <c r="N116" s="189">
        <f t="shared" si="27"/>
        <v>-164.17467463206623</v>
      </c>
      <c r="O116" s="188">
        <v>0</v>
      </c>
      <c r="P116" s="188">
        <v>0</v>
      </c>
      <c r="Q116" s="188">
        <v>0</v>
      </c>
      <c r="R116" s="189">
        <f t="shared" si="28"/>
        <v>-164.17467463206623</v>
      </c>
    </row>
    <row r="117" spans="1:18" x14ac:dyDescent="0.25">
      <c r="A117" s="146">
        <v>2</v>
      </c>
      <c r="B117" s="181">
        <f t="shared" si="35"/>
        <v>44958</v>
      </c>
      <c r="C117" s="201">
        <f t="shared" ref="C117:D139" si="37">+C105</f>
        <v>44988</v>
      </c>
      <c r="D117" s="201">
        <f t="shared" si="37"/>
        <v>45009</v>
      </c>
      <c r="E117" s="190" t="s">
        <v>13</v>
      </c>
      <c r="F117" s="146">
        <v>9</v>
      </c>
      <c r="G117" s="183">
        <v>955</v>
      </c>
      <c r="H117" s="184">
        <f t="shared" si="25"/>
        <v>1.371384551924467</v>
      </c>
      <c r="I117" s="184">
        <f t="shared" si="34"/>
        <v>1.2144685218974649</v>
      </c>
      <c r="J117" s="185">
        <f t="shared" si="36"/>
        <v>1159.8174384120789</v>
      </c>
      <c r="K117" s="186">
        <f t="shared" si="30"/>
        <v>1309.672247087866</v>
      </c>
      <c r="L117" s="187">
        <f>+J117-K117</f>
        <v>-149.85480867578713</v>
      </c>
      <c r="M117" s="188">
        <f t="shared" si="26"/>
        <v>-12.282538039438693</v>
      </c>
      <c r="N117" s="189">
        <f t="shared" si="27"/>
        <v>-162.13734671522582</v>
      </c>
      <c r="O117" s="188">
        <v>0</v>
      </c>
      <c r="P117" s="188">
        <v>0</v>
      </c>
      <c r="Q117" s="188">
        <v>0</v>
      </c>
      <c r="R117" s="189">
        <f t="shared" si="28"/>
        <v>-162.13734671522582</v>
      </c>
    </row>
    <row r="118" spans="1:18" x14ac:dyDescent="0.25">
      <c r="A118" s="146">
        <v>3</v>
      </c>
      <c r="B118" s="181">
        <f t="shared" si="35"/>
        <v>44986</v>
      </c>
      <c r="C118" s="201">
        <f t="shared" si="37"/>
        <v>45021</v>
      </c>
      <c r="D118" s="201">
        <f t="shared" si="37"/>
        <v>45040</v>
      </c>
      <c r="E118" s="190" t="s">
        <v>13</v>
      </c>
      <c r="F118" s="146">
        <v>9</v>
      </c>
      <c r="G118" s="183">
        <v>872</v>
      </c>
      <c r="H118" s="184">
        <f t="shared" si="25"/>
        <v>1.371384551924467</v>
      </c>
      <c r="I118" s="184">
        <f t="shared" si="34"/>
        <v>1.2144685218974649</v>
      </c>
      <c r="J118" s="185">
        <f t="shared" si="36"/>
        <v>1059.0165510945894</v>
      </c>
      <c r="K118" s="186">
        <f t="shared" si="30"/>
        <v>1195.8473292781352</v>
      </c>
      <c r="L118" s="187">
        <f>+J118-K118</f>
        <v>-136.83077818354582</v>
      </c>
      <c r="M118" s="188">
        <f t="shared" si="26"/>
        <v>-11.215050440199517</v>
      </c>
      <c r="N118" s="189">
        <f t="shared" si="27"/>
        <v>-148.04582862374534</v>
      </c>
      <c r="O118" s="188">
        <v>0</v>
      </c>
      <c r="P118" s="188">
        <v>0</v>
      </c>
      <c r="Q118" s="188">
        <v>0</v>
      </c>
      <c r="R118" s="189">
        <f t="shared" si="28"/>
        <v>-148.04582862374534</v>
      </c>
    </row>
    <row r="119" spans="1:18" x14ac:dyDescent="0.25">
      <c r="A119" s="110">
        <v>4</v>
      </c>
      <c r="B119" s="181">
        <f t="shared" si="35"/>
        <v>45017</v>
      </c>
      <c r="C119" s="201">
        <f t="shared" si="37"/>
        <v>45049</v>
      </c>
      <c r="D119" s="201">
        <f t="shared" si="37"/>
        <v>45070</v>
      </c>
      <c r="E119" s="52" t="s">
        <v>13</v>
      </c>
      <c r="F119" s="146">
        <v>9</v>
      </c>
      <c r="G119" s="183">
        <v>602</v>
      </c>
      <c r="H119" s="184">
        <f t="shared" si="25"/>
        <v>1.371384551924467</v>
      </c>
      <c r="I119" s="184">
        <f t="shared" si="34"/>
        <v>1.2144685218974649</v>
      </c>
      <c r="J119" s="185">
        <f t="shared" si="36"/>
        <v>731.11005018227388</v>
      </c>
      <c r="K119" s="186">
        <f t="shared" si="30"/>
        <v>825.57350025852907</v>
      </c>
      <c r="L119" s="187">
        <f t="shared" ref="L119:L127" si="38">+J119-K119</f>
        <v>-94.463450076255185</v>
      </c>
      <c r="M119" s="188">
        <f t="shared" si="26"/>
        <v>-7.742500418578107</v>
      </c>
      <c r="N119" s="189">
        <f t="shared" si="27"/>
        <v>-102.20595049483329</v>
      </c>
      <c r="O119" s="188">
        <v>0</v>
      </c>
      <c r="P119" s="188">
        <v>0</v>
      </c>
      <c r="Q119" s="188">
        <v>0</v>
      </c>
      <c r="R119" s="189">
        <f t="shared" si="28"/>
        <v>-102.20595049483329</v>
      </c>
    </row>
    <row r="120" spans="1:18" x14ac:dyDescent="0.25">
      <c r="A120" s="146">
        <v>5</v>
      </c>
      <c r="B120" s="181">
        <f t="shared" si="35"/>
        <v>45047</v>
      </c>
      <c r="C120" s="201">
        <f t="shared" si="37"/>
        <v>45082</v>
      </c>
      <c r="D120" s="201">
        <f t="shared" si="37"/>
        <v>45103</v>
      </c>
      <c r="E120" s="52" t="s">
        <v>13</v>
      </c>
      <c r="F120" s="146">
        <v>9</v>
      </c>
      <c r="G120" s="183">
        <v>711</v>
      </c>
      <c r="H120" s="184">
        <f t="shared" si="25"/>
        <v>1.371384551924467</v>
      </c>
      <c r="I120" s="184">
        <f t="shared" si="34"/>
        <v>1.2144685218974649</v>
      </c>
      <c r="J120" s="185">
        <f t="shared" si="36"/>
        <v>863.4871190690975</v>
      </c>
      <c r="K120" s="186">
        <f t="shared" si="30"/>
        <v>975.054416418296</v>
      </c>
      <c r="L120" s="187">
        <f t="shared" si="38"/>
        <v>-111.5672973491985</v>
      </c>
      <c r="M120" s="188">
        <f t="shared" si="26"/>
        <v>-9.1443817236030469</v>
      </c>
      <c r="N120" s="189">
        <f t="shared" si="27"/>
        <v>-120.71167907280154</v>
      </c>
      <c r="O120" s="188">
        <v>0</v>
      </c>
      <c r="P120" s="188">
        <v>0</v>
      </c>
      <c r="Q120" s="188">
        <v>0</v>
      </c>
      <c r="R120" s="189">
        <f t="shared" si="28"/>
        <v>-120.71167907280154</v>
      </c>
    </row>
    <row r="121" spans="1:18" x14ac:dyDescent="0.25">
      <c r="A121" s="146">
        <v>6</v>
      </c>
      <c r="B121" s="181">
        <f t="shared" si="35"/>
        <v>45078</v>
      </c>
      <c r="C121" s="201">
        <f t="shared" si="37"/>
        <v>45112</v>
      </c>
      <c r="D121" s="201">
        <f t="shared" si="37"/>
        <v>45131</v>
      </c>
      <c r="E121" s="52" t="s">
        <v>13</v>
      </c>
      <c r="F121" s="146">
        <v>9</v>
      </c>
      <c r="G121" s="183">
        <v>936</v>
      </c>
      <c r="H121" s="184">
        <f t="shared" si="25"/>
        <v>1.371384551924467</v>
      </c>
      <c r="I121" s="184">
        <f t="shared" si="34"/>
        <v>1.2144685218974649</v>
      </c>
      <c r="J121" s="185">
        <f t="shared" si="36"/>
        <v>1136.7425364960272</v>
      </c>
      <c r="K121" s="186">
        <f t="shared" si="30"/>
        <v>1283.615940601301</v>
      </c>
      <c r="L121" s="191">
        <f t="shared" si="38"/>
        <v>-146.87340410527372</v>
      </c>
      <c r="M121" s="188">
        <f t="shared" si="26"/>
        <v>-12.038173408287557</v>
      </c>
      <c r="N121" s="189">
        <f t="shared" si="27"/>
        <v>-158.91157751356127</v>
      </c>
      <c r="O121" s="188">
        <v>0</v>
      </c>
      <c r="P121" s="188">
        <v>0</v>
      </c>
      <c r="Q121" s="188">
        <v>0</v>
      </c>
      <c r="R121" s="189">
        <f t="shared" si="28"/>
        <v>-158.91157751356127</v>
      </c>
    </row>
    <row r="122" spans="1:18" x14ac:dyDescent="0.25">
      <c r="A122" s="110">
        <v>7</v>
      </c>
      <c r="B122" s="181">
        <f t="shared" si="35"/>
        <v>45108</v>
      </c>
      <c r="C122" s="201">
        <f t="shared" si="37"/>
        <v>45141</v>
      </c>
      <c r="D122" s="201">
        <f t="shared" si="37"/>
        <v>45162</v>
      </c>
      <c r="E122" s="52" t="s">
        <v>13</v>
      </c>
      <c r="F122" s="146">
        <v>9</v>
      </c>
      <c r="G122" s="183">
        <v>932</v>
      </c>
      <c r="H122" s="184">
        <f t="shared" si="25"/>
        <v>1.371384551924467</v>
      </c>
      <c r="I122" s="184">
        <f t="shared" si="34"/>
        <v>1.2144685218974649</v>
      </c>
      <c r="J122" s="185">
        <f t="shared" si="36"/>
        <v>1131.8846624084372</v>
      </c>
      <c r="K122" s="192">
        <f t="shared" si="30"/>
        <v>1278.1304023936032</v>
      </c>
      <c r="L122" s="191">
        <f t="shared" si="38"/>
        <v>-146.24573998516598</v>
      </c>
      <c r="M122" s="188">
        <f t="shared" si="26"/>
        <v>-11.986728222782054</v>
      </c>
      <c r="N122" s="189">
        <f t="shared" si="27"/>
        <v>-158.23246820794805</v>
      </c>
      <c r="O122" s="188">
        <v>0</v>
      </c>
      <c r="P122" s="188">
        <v>0</v>
      </c>
      <c r="Q122" s="188">
        <v>0</v>
      </c>
      <c r="R122" s="189">
        <f t="shared" si="28"/>
        <v>-158.23246820794805</v>
      </c>
    </row>
    <row r="123" spans="1:18" x14ac:dyDescent="0.25">
      <c r="A123" s="146">
        <v>8</v>
      </c>
      <c r="B123" s="181">
        <f t="shared" si="35"/>
        <v>45139</v>
      </c>
      <c r="C123" s="201">
        <f t="shared" si="37"/>
        <v>45174</v>
      </c>
      <c r="D123" s="201">
        <f t="shared" si="37"/>
        <v>45194</v>
      </c>
      <c r="E123" s="52" t="s">
        <v>13</v>
      </c>
      <c r="F123" s="146">
        <v>9</v>
      </c>
      <c r="G123" s="183">
        <v>1025</v>
      </c>
      <c r="H123" s="184">
        <f t="shared" si="25"/>
        <v>1.371384551924467</v>
      </c>
      <c r="I123" s="184">
        <f t="shared" si="34"/>
        <v>1.2144685218974649</v>
      </c>
      <c r="J123" s="185">
        <f t="shared" si="36"/>
        <v>1244.8302349449016</v>
      </c>
      <c r="K123" s="192">
        <f t="shared" si="30"/>
        <v>1405.6691657225786</v>
      </c>
      <c r="L123" s="191">
        <f t="shared" si="38"/>
        <v>-160.83893077767698</v>
      </c>
      <c r="M123" s="188">
        <f t="shared" si="26"/>
        <v>-13.182828785784983</v>
      </c>
      <c r="N123" s="189">
        <f t="shared" si="27"/>
        <v>-174.02175956346196</v>
      </c>
      <c r="O123" s="188">
        <v>0</v>
      </c>
      <c r="P123" s="188">
        <v>0</v>
      </c>
      <c r="Q123" s="188">
        <v>0</v>
      </c>
      <c r="R123" s="189">
        <f t="shared" si="28"/>
        <v>-174.02175956346196</v>
      </c>
    </row>
    <row r="124" spans="1:18" x14ac:dyDescent="0.25">
      <c r="A124" s="146">
        <v>9</v>
      </c>
      <c r="B124" s="181">
        <f t="shared" si="35"/>
        <v>45170</v>
      </c>
      <c r="C124" s="201">
        <f t="shared" si="37"/>
        <v>45203</v>
      </c>
      <c r="D124" s="201">
        <f t="shared" si="37"/>
        <v>45223</v>
      </c>
      <c r="E124" s="52" t="s">
        <v>13</v>
      </c>
      <c r="F124" s="146">
        <v>9</v>
      </c>
      <c r="G124" s="183">
        <v>934</v>
      </c>
      <c r="H124" s="184">
        <f t="shared" si="25"/>
        <v>1.371384551924467</v>
      </c>
      <c r="I124" s="184">
        <f t="shared" si="34"/>
        <v>1.2144685218974649</v>
      </c>
      <c r="J124" s="185">
        <f t="shared" si="36"/>
        <v>1134.3135994522322</v>
      </c>
      <c r="K124" s="192">
        <f t="shared" si="30"/>
        <v>1280.8731714974522</v>
      </c>
      <c r="L124" s="191">
        <f t="shared" si="38"/>
        <v>-146.55957204521997</v>
      </c>
      <c r="M124" s="188">
        <f t="shared" si="26"/>
        <v>-12.012450815534804</v>
      </c>
      <c r="N124" s="189">
        <f t="shared" si="27"/>
        <v>-158.57202286075477</v>
      </c>
      <c r="O124" s="188">
        <v>0</v>
      </c>
      <c r="P124" s="188">
        <v>0</v>
      </c>
      <c r="Q124" s="188">
        <v>0</v>
      </c>
      <c r="R124" s="189">
        <f t="shared" si="28"/>
        <v>-158.57202286075477</v>
      </c>
    </row>
    <row r="125" spans="1:18" x14ac:dyDescent="0.25">
      <c r="A125" s="110">
        <v>10</v>
      </c>
      <c r="B125" s="181">
        <f t="shared" si="35"/>
        <v>45200</v>
      </c>
      <c r="C125" s="201">
        <f t="shared" si="37"/>
        <v>45233</v>
      </c>
      <c r="D125" s="201">
        <f t="shared" si="37"/>
        <v>45254</v>
      </c>
      <c r="E125" s="52" t="s">
        <v>13</v>
      </c>
      <c r="F125" s="146">
        <v>9</v>
      </c>
      <c r="G125" s="183">
        <v>700</v>
      </c>
      <c r="H125" s="184">
        <f t="shared" si="25"/>
        <v>1.371384551924467</v>
      </c>
      <c r="I125" s="184">
        <f t="shared" si="34"/>
        <v>1.2144685218974649</v>
      </c>
      <c r="J125" s="185">
        <f t="shared" si="36"/>
        <v>850.1279653282254</v>
      </c>
      <c r="K125" s="192">
        <f t="shared" si="30"/>
        <v>959.96918634712688</v>
      </c>
      <c r="L125" s="191">
        <f t="shared" si="38"/>
        <v>-109.84122101890148</v>
      </c>
      <c r="M125" s="188">
        <f t="shared" si="26"/>
        <v>-9.0029074634629147</v>
      </c>
      <c r="N125" s="189">
        <f t="shared" si="27"/>
        <v>-118.8441284823644</v>
      </c>
      <c r="O125" s="188">
        <v>0</v>
      </c>
      <c r="P125" s="188">
        <v>0</v>
      </c>
      <c r="Q125" s="188">
        <v>0</v>
      </c>
      <c r="R125" s="189">
        <f t="shared" si="28"/>
        <v>-118.8441284823644</v>
      </c>
    </row>
    <row r="126" spans="1:18" x14ac:dyDescent="0.25">
      <c r="A126" s="146">
        <v>11</v>
      </c>
      <c r="B126" s="181">
        <f t="shared" si="35"/>
        <v>45231</v>
      </c>
      <c r="C126" s="201">
        <f t="shared" si="37"/>
        <v>45266</v>
      </c>
      <c r="D126" s="201">
        <f t="shared" si="37"/>
        <v>45285</v>
      </c>
      <c r="E126" s="52" t="s">
        <v>13</v>
      </c>
      <c r="F126" s="146">
        <v>9</v>
      </c>
      <c r="G126" s="183">
        <v>867</v>
      </c>
      <c r="H126" s="184">
        <f t="shared" si="25"/>
        <v>1.371384551924467</v>
      </c>
      <c r="I126" s="184">
        <f t="shared" si="34"/>
        <v>1.2144685218974649</v>
      </c>
      <c r="J126" s="185">
        <f t="shared" si="36"/>
        <v>1052.9442084851021</v>
      </c>
      <c r="K126" s="192">
        <f t="shared" si="30"/>
        <v>1188.9904065185128</v>
      </c>
      <c r="L126" s="191">
        <f t="shared" si="38"/>
        <v>-136.04619803341075</v>
      </c>
      <c r="M126" s="188">
        <f t="shared" si="26"/>
        <v>-11.150743958317641</v>
      </c>
      <c r="N126" s="189">
        <f t="shared" si="27"/>
        <v>-147.19694199172838</v>
      </c>
      <c r="O126" s="188">
        <v>0</v>
      </c>
      <c r="P126" s="188">
        <v>0</v>
      </c>
      <c r="Q126" s="188">
        <v>0</v>
      </c>
      <c r="R126" s="189">
        <f t="shared" si="28"/>
        <v>-147.19694199172838</v>
      </c>
    </row>
    <row r="127" spans="1:18" s="205" customFormat="1" x14ac:dyDescent="0.25">
      <c r="A127" s="146">
        <v>12</v>
      </c>
      <c r="B127" s="203">
        <f t="shared" si="35"/>
        <v>45261</v>
      </c>
      <c r="C127" s="206">
        <f t="shared" si="37"/>
        <v>45294</v>
      </c>
      <c r="D127" s="206">
        <f t="shared" si="37"/>
        <v>45315</v>
      </c>
      <c r="E127" s="204" t="s">
        <v>13</v>
      </c>
      <c r="F127" s="157">
        <v>9</v>
      </c>
      <c r="G127" s="183">
        <v>916</v>
      </c>
      <c r="H127" s="193">
        <f t="shared" si="25"/>
        <v>1.371384551924467</v>
      </c>
      <c r="I127" s="193">
        <f t="shared" si="34"/>
        <v>1.2144685218974649</v>
      </c>
      <c r="J127" s="194">
        <f t="shared" si="36"/>
        <v>1112.4531660580778</v>
      </c>
      <c r="K127" s="195">
        <f t="shared" si="30"/>
        <v>1256.1882495628117</v>
      </c>
      <c r="L127" s="196">
        <f t="shared" si="38"/>
        <v>-143.73508350473389</v>
      </c>
      <c r="M127" s="188">
        <f t="shared" si="26"/>
        <v>-11.780947480760044</v>
      </c>
      <c r="N127" s="189">
        <f t="shared" si="27"/>
        <v>-155.51603098549393</v>
      </c>
      <c r="O127" s="188">
        <v>0</v>
      </c>
      <c r="P127" s="188">
        <v>0</v>
      </c>
      <c r="Q127" s="188">
        <v>0</v>
      </c>
      <c r="R127" s="189">
        <f t="shared" si="28"/>
        <v>-155.51603098549393</v>
      </c>
    </row>
    <row r="128" spans="1:18" x14ac:dyDescent="0.25">
      <c r="A128" s="110">
        <v>1</v>
      </c>
      <c r="B128" s="181">
        <f t="shared" si="35"/>
        <v>44927</v>
      </c>
      <c r="C128" s="201">
        <f t="shared" si="37"/>
        <v>44960</v>
      </c>
      <c r="D128" s="201">
        <f t="shared" si="37"/>
        <v>44981</v>
      </c>
      <c r="E128" s="182" t="s">
        <v>15</v>
      </c>
      <c r="F128" s="110">
        <v>9</v>
      </c>
      <c r="G128" s="183">
        <v>6</v>
      </c>
      <c r="H128" s="184">
        <f t="shared" si="25"/>
        <v>1.371384551924467</v>
      </c>
      <c r="I128" s="184">
        <f t="shared" ref="I128:I147" si="39">$J$3</f>
        <v>1.2144685218974649</v>
      </c>
      <c r="J128" s="185">
        <f t="shared" si="36"/>
        <v>7.2868111313847894</v>
      </c>
      <c r="K128" s="186">
        <f t="shared" si="30"/>
        <v>8.2283073115468017</v>
      </c>
      <c r="L128" s="187">
        <f>+J128-K128</f>
        <v>-0.94149618016201231</v>
      </c>
      <c r="M128" s="188">
        <f t="shared" si="26"/>
        <v>-7.7167778258253564E-2</v>
      </c>
      <c r="N128" s="189">
        <f t="shared" si="27"/>
        <v>-1.0186639584202659</v>
      </c>
      <c r="O128" s="188">
        <v>0</v>
      </c>
      <c r="P128" s="188">
        <v>0</v>
      </c>
      <c r="Q128" s="188">
        <v>0</v>
      </c>
      <c r="R128" s="189">
        <f t="shared" si="28"/>
        <v>-1.0186639584202659</v>
      </c>
    </row>
    <row r="129" spans="1:18" x14ac:dyDescent="0.25">
      <c r="A129" s="146">
        <v>2</v>
      </c>
      <c r="B129" s="181">
        <f t="shared" si="35"/>
        <v>44958</v>
      </c>
      <c r="C129" s="201">
        <f t="shared" si="37"/>
        <v>44988</v>
      </c>
      <c r="D129" s="201">
        <f t="shared" si="37"/>
        <v>45009</v>
      </c>
      <c r="E129" s="190" t="s">
        <v>15</v>
      </c>
      <c r="F129" s="146">
        <v>9</v>
      </c>
      <c r="G129" s="183">
        <v>5</v>
      </c>
      <c r="H129" s="184">
        <f t="shared" si="25"/>
        <v>1.371384551924467</v>
      </c>
      <c r="I129" s="184">
        <f t="shared" si="39"/>
        <v>1.2144685218974649</v>
      </c>
      <c r="J129" s="185">
        <f t="shared" si="36"/>
        <v>6.0723426094873245</v>
      </c>
      <c r="K129" s="186">
        <f t="shared" si="30"/>
        <v>6.8569227596223348</v>
      </c>
      <c r="L129" s="187">
        <f>+J129-K129</f>
        <v>-0.78458015013501026</v>
      </c>
      <c r="M129" s="188">
        <f t="shared" si="26"/>
        <v>-6.4306481881877972E-2</v>
      </c>
      <c r="N129" s="189">
        <f t="shared" si="27"/>
        <v>-0.84888663201688819</v>
      </c>
      <c r="O129" s="188">
        <v>0</v>
      </c>
      <c r="P129" s="188">
        <v>0</v>
      </c>
      <c r="Q129" s="188">
        <v>0</v>
      </c>
      <c r="R129" s="189">
        <f t="shared" si="28"/>
        <v>-0.84888663201688819</v>
      </c>
    </row>
    <row r="130" spans="1:18" x14ac:dyDescent="0.25">
      <c r="A130" s="146">
        <v>3</v>
      </c>
      <c r="B130" s="181">
        <f t="shared" si="35"/>
        <v>44986</v>
      </c>
      <c r="C130" s="201">
        <f t="shared" si="37"/>
        <v>45021</v>
      </c>
      <c r="D130" s="201">
        <f t="shared" si="37"/>
        <v>45040</v>
      </c>
      <c r="E130" s="190" t="s">
        <v>15</v>
      </c>
      <c r="F130" s="146">
        <v>9</v>
      </c>
      <c r="G130" s="183">
        <v>5</v>
      </c>
      <c r="H130" s="184">
        <f t="shared" si="25"/>
        <v>1.371384551924467</v>
      </c>
      <c r="I130" s="184">
        <f t="shared" si="39"/>
        <v>1.2144685218974649</v>
      </c>
      <c r="J130" s="185">
        <f t="shared" si="36"/>
        <v>6.0723426094873245</v>
      </c>
      <c r="K130" s="186">
        <f t="shared" si="30"/>
        <v>6.8569227596223348</v>
      </c>
      <c r="L130" s="187">
        <f>+J130-K130</f>
        <v>-0.78458015013501026</v>
      </c>
      <c r="M130" s="188">
        <f t="shared" si="26"/>
        <v>-6.4306481881877972E-2</v>
      </c>
      <c r="N130" s="189">
        <f t="shared" si="27"/>
        <v>-0.84888663201688819</v>
      </c>
      <c r="O130" s="188">
        <v>0</v>
      </c>
      <c r="P130" s="188">
        <v>0</v>
      </c>
      <c r="Q130" s="188">
        <v>0</v>
      </c>
      <c r="R130" s="189">
        <f t="shared" si="28"/>
        <v>-0.84888663201688819</v>
      </c>
    </row>
    <row r="131" spans="1:18" x14ac:dyDescent="0.25">
      <c r="A131" s="110">
        <v>4</v>
      </c>
      <c r="B131" s="181">
        <f t="shared" si="35"/>
        <v>45017</v>
      </c>
      <c r="C131" s="201">
        <f t="shared" si="37"/>
        <v>45049</v>
      </c>
      <c r="D131" s="201">
        <f t="shared" si="37"/>
        <v>45070</v>
      </c>
      <c r="E131" s="190" t="s">
        <v>15</v>
      </c>
      <c r="F131" s="146">
        <v>9</v>
      </c>
      <c r="G131" s="183">
        <v>7</v>
      </c>
      <c r="H131" s="184">
        <f t="shared" si="25"/>
        <v>1.371384551924467</v>
      </c>
      <c r="I131" s="184">
        <f t="shared" si="39"/>
        <v>1.2144685218974649</v>
      </c>
      <c r="J131" s="185">
        <f t="shared" si="36"/>
        <v>8.5012796532822534</v>
      </c>
      <c r="K131" s="186">
        <f t="shared" si="30"/>
        <v>9.5996918634712678</v>
      </c>
      <c r="L131" s="187">
        <f t="shared" ref="L131:L141" si="40">+J131-K131</f>
        <v>-1.0984122101890144</v>
      </c>
      <c r="M131" s="188">
        <f t="shared" si="26"/>
        <v>-9.0029074634629155E-2</v>
      </c>
      <c r="N131" s="189">
        <f t="shared" si="27"/>
        <v>-1.1884412848236434</v>
      </c>
      <c r="O131" s="188">
        <v>0</v>
      </c>
      <c r="P131" s="188">
        <v>0</v>
      </c>
      <c r="Q131" s="188">
        <v>0</v>
      </c>
      <c r="R131" s="189">
        <f t="shared" si="28"/>
        <v>-1.1884412848236434</v>
      </c>
    </row>
    <row r="132" spans="1:18" x14ac:dyDescent="0.25">
      <c r="A132" s="146">
        <v>5</v>
      </c>
      <c r="B132" s="181">
        <f t="shared" si="35"/>
        <v>45047</v>
      </c>
      <c r="C132" s="201">
        <f t="shared" si="37"/>
        <v>45082</v>
      </c>
      <c r="D132" s="201">
        <f t="shared" si="37"/>
        <v>45103</v>
      </c>
      <c r="E132" s="52" t="s">
        <v>15</v>
      </c>
      <c r="F132" s="146">
        <v>9</v>
      </c>
      <c r="G132" s="183">
        <v>4</v>
      </c>
      <c r="H132" s="184">
        <f t="shared" si="25"/>
        <v>1.371384551924467</v>
      </c>
      <c r="I132" s="184">
        <f t="shared" si="39"/>
        <v>1.2144685218974649</v>
      </c>
      <c r="J132" s="185">
        <f t="shared" si="36"/>
        <v>4.8578740875898596</v>
      </c>
      <c r="K132" s="186">
        <f t="shared" si="30"/>
        <v>5.4855382076978678</v>
      </c>
      <c r="L132" s="187">
        <f t="shared" si="40"/>
        <v>-0.62766412010800821</v>
      </c>
      <c r="M132" s="188">
        <f t="shared" si="26"/>
        <v>-5.1445185505502367E-2</v>
      </c>
      <c r="N132" s="189">
        <f t="shared" si="27"/>
        <v>-0.67910930561351057</v>
      </c>
      <c r="O132" s="188">
        <v>0</v>
      </c>
      <c r="P132" s="188">
        <v>0</v>
      </c>
      <c r="Q132" s="188">
        <v>0</v>
      </c>
      <c r="R132" s="189">
        <f t="shared" si="28"/>
        <v>-0.67910930561351057</v>
      </c>
    </row>
    <row r="133" spans="1:18" x14ac:dyDescent="0.25">
      <c r="A133" s="146">
        <v>6</v>
      </c>
      <c r="B133" s="181">
        <f t="shared" si="35"/>
        <v>45078</v>
      </c>
      <c r="C133" s="201">
        <f t="shared" si="37"/>
        <v>45112</v>
      </c>
      <c r="D133" s="201">
        <f t="shared" si="37"/>
        <v>45131</v>
      </c>
      <c r="E133" s="52" t="s">
        <v>15</v>
      </c>
      <c r="F133" s="146">
        <v>9</v>
      </c>
      <c r="G133" s="183">
        <v>14</v>
      </c>
      <c r="H133" s="184">
        <f t="shared" si="25"/>
        <v>1.371384551924467</v>
      </c>
      <c r="I133" s="184">
        <f t="shared" si="39"/>
        <v>1.2144685218974649</v>
      </c>
      <c r="J133" s="185">
        <f t="shared" si="36"/>
        <v>17.002559306564507</v>
      </c>
      <c r="K133" s="186">
        <f t="shared" si="30"/>
        <v>19.199383726942536</v>
      </c>
      <c r="L133" s="191">
        <f t="shared" si="40"/>
        <v>-2.1968244203780287</v>
      </c>
      <c r="M133" s="188">
        <f t="shared" si="26"/>
        <v>-0.18005814926925831</v>
      </c>
      <c r="N133" s="189">
        <f t="shared" si="27"/>
        <v>-2.3768825696472868</v>
      </c>
      <c r="O133" s="188">
        <v>0</v>
      </c>
      <c r="P133" s="188">
        <v>0</v>
      </c>
      <c r="Q133" s="188">
        <v>0</v>
      </c>
      <c r="R133" s="189">
        <f t="shared" si="28"/>
        <v>-2.3768825696472868</v>
      </c>
    </row>
    <row r="134" spans="1:18" x14ac:dyDescent="0.25">
      <c r="A134" s="110">
        <v>7</v>
      </c>
      <c r="B134" s="181">
        <f t="shared" si="35"/>
        <v>45108</v>
      </c>
      <c r="C134" s="201">
        <f t="shared" si="37"/>
        <v>45141</v>
      </c>
      <c r="D134" s="201">
        <f t="shared" si="37"/>
        <v>45162</v>
      </c>
      <c r="E134" s="52" t="s">
        <v>15</v>
      </c>
      <c r="F134" s="146">
        <v>9</v>
      </c>
      <c r="G134" s="183">
        <v>13</v>
      </c>
      <c r="H134" s="184">
        <f t="shared" si="25"/>
        <v>1.371384551924467</v>
      </c>
      <c r="I134" s="184">
        <f t="shared" si="39"/>
        <v>1.2144685218974649</v>
      </c>
      <c r="J134" s="185">
        <f t="shared" si="36"/>
        <v>15.788090784667045</v>
      </c>
      <c r="K134" s="192">
        <f t="shared" ref="K134:K197" si="41">+$G134*H134</f>
        <v>17.827999175018071</v>
      </c>
      <c r="L134" s="191">
        <f t="shared" si="40"/>
        <v>-2.0399083903510267</v>
      </c>
      <c r="M134" s="188">
        <f t="shared" si="26"/>
        <v>-0.16719685289288269</v>
      </c>
      <c r="N134" s="189">
        <f t="shared" si="27"/>
        <v>-2.2071052432439093</v>
      </c>
      <c r="O134" s="188">
        <v>0</v>
      </c>
      <c r="P134" s="188">
        <v>0</v>
      </c>
      <c r="Q134" s="188">
        <v>0</v>
      </c>
      <c r="R134" s="189">
        <f t="shared" si="28"/>
        <v>-2.2071052432439093</v>
      </c>
    </row>
    <row r="135" spans="1:18" x14ac:dyDescent="0.25">
      <c r="A135" s="146">
        <v>8</v>
      </c>
      <c r="B135" s="181">
        <f t="shared" si="35"/>
        <v>45139</v>
      </c>
      <c r="C135" s="201">
        <f t="shared" si="37"/>
        <v>45174</v>
      </c>
      <c r="D135" s="201">
        <f t="shared" si="37"/>
        <v>45194</v>
      </c>
      <c r="E135" s="52" t="s">
        <v>15</v>
      </c>
      <c r="F135" s="146">
        <v>9</v>
      </c>
      <c r="G135" s="183">
        <v>19</v>
      </c>
      <c r="H135" s="184">
        <f t="shared" si="25"/>
        <v>1.371384551924467</v>
      </c>
      <c r="I135" s="184">
        <f t="shared" si="39"/>
        <v>1.2144685218974649</v>
      </c>
      <c r="J135" s="185">
        <f t="shared" si="36"/>
        <v>23.074901916051832</v>
      </c>
      <c r="K135" s="192">
        <f t="shared" si="41"/>
        <v>26.056306486564871</v>
      </c>
      <c r="L135" s="191">
        <f t="shared" si="40"/>
        <v>-2.981404570513039</v>
      </c>
      <c r="M135" s="188">
        <f t="shared" si="26"/>
        <v>-0.2443646311511363</v>
      </c>
      <c r="N135" s="189">
        <f t="shared" si="27"/>
        <v>-3.2257692016641752</v>
      </c>
      <c r="O135" s="188">
        <v>0</v>
      </c>
      <c r="P135" s="188">
        <v>0</v>
      </c>
      <c r="Q135" s="188">
        <v>0</v>
      </c>
      <c r="R135" s="189">
        <f t="shared" si="28"/>
        <v>-3.2257692016641752</v>
      </c>
    </row>
    <row r="136" spans="1:18" x14ac:dyDescent="0.25">
      <c r="A136" s="146">
        <v>9</v>
      </c>
      <c r="B136" s="181">
        <f t="shared" si="35"/>
        <v>45170</v>
      </c>
      <c r="C136" s="201">
        <f t="shared" si="37"/>
        <v>45203</v>
      </c>
      <c r="D136" s="201">
        <f t="shared" si="37"/>
        <v>45223</v>
      </c>
      <c r="E136" s="52" t="s">
        <v>15</v>
      </c>
      <c r="F136" s="146">
        <v>9</v>
      </c>
      <c r="G136" s="183">
        <v>18</v>
      </c>
      <c r="H136" s="184">
        <f t="shared" si="25"/>
        <v>1.371384551924467</v>
      </c>
      <c r="I136" s="184">
        <f t="shared" si="39"/>
        <v>1.2144685218974649</v>
      </c>
      <c r="J136" s="185">
        <f t="shared" si="36"/>
        <v>21.86043339415437</v>
      </c>
      <c r="K136" s="192">
        <f t="shared" si="41"/>
        <v>24.684921934640407</v>
      </c>
      <c r="L136" s="191">
        <f t="shared" si="40"/>
        <v>-2.8244885404860369</v>
      </c>
      <c r="M136" s="188">
        <f t="shared" si="26"/>
        <v>-0.23150333477476068</v>
      </c>
      <c r="N136" s="189">
        <f t="shared" si="27"/>
        <v>-3.0559918752607977</v>
      </c>
      <c r="O136" s="188">
        <v>0</v>
      </c>
      <c r="P136" s="188">
        <v>0</v>
      </c>
      <c r="Q136" s="188">
        <v>0</v>
      </c>
      <c r="R136" s="189">
        <f t="shared" si="28"/>
        <v>-3.0559918752607977</v>
      </c>
    </row>
    <row r="137" spans="1:18" x14ac:dyDescent="0.25">
      <c r="A137" s="110">
        <v>10</v>
      </c>
      <c r="B137" s="181">
        <f t="shared" si="35"/>
        <v>45200</v>
      </c>
      <c r="C137" s="201">
        <f t="shared" si="37"/>
        <v>45233</v>
      </c>
      <c r="D137" s="201">
        <f t="shared" si="37"/>
        <v>45254</v>
      </c>
      <c r="E137" s="52" t="s">
        <v>15</v>
      </c>
      <c r="F137" s="146">
        <v>9</v>
      </c>
      <c r="G137" s="183">
        <v>6</v>
      </c>
      <c r="H137" s="184">
        <f t="shared" si="25"/>
        <v>1.371384551924467</v>
      </c>
      <c r="I137" s="184">
        <f t="shared" si="39"/>
        <v>1.2144685218974649</v>
      </c>
      <c r="J137" s="185">
        <f t="shared" si="36"/>
        <v>7.2868111313847894</v>
      </c>
      <c r="K137" s="192">
        <f t="shared" si="41"/>
        <v>8.2283073115468017</v>
      </c>
      <c r="L137" s="191">
        <f t="shared" si="40"/>
        <v>-0.94149618016201231</v>
      </c>
      <c r="M137" s="188">
        <f t="shared" si="26"/>
        <v>-7.7167778258253564E-2</v>
      </c>
      <c r="N137" s="189">
        <f t="shared" si="27"/>
        <v>-1.0186639584202659</v>
      </c>
      <c r="O137" s="188">
        <v>0</v>
      </c>
      <c r="P137" s="188">
        <v>0</v>
      </c>
      <c r="Q137" s="188">
        <v>0</v>
      </c>
      <c r="R137" s="189">
        <f t="shared" si="28"/>
        <v>-1.0186639584202659</v>
      </c>
    </row>
    <row r="138" spans="1:18" x14ac:dyDescent="0.25">
      <c r="A138" s="146">
        <v>11</v>
      </c>
      <c r="B138" s="181">
        <f t="shared" si="35"/>
        <v>45231</v>
      </c>
      <c r="C138" s="201">
        <f t="shared" si="37"/>
        <v>45266</v>
      </c>
      <c r="D138" s="201">
        <f t="shared" si="37"/>
        <v>45285</v>
      </c>
      <c r="E138" s="52" t="s">
        <v>15</v>
      </c>
      <c r="F138" s="146">
        <v>9</v>
      </c>
      <c r="G138" s="183">
        <v>6</v>
      </c>
      <c r="H138" s="184">
        <f t="shared" si="25"/>
        <v>1.371384551924467</v>
      </c>
      <c r="I138" s="184">
        <f t="shared" si="39"/>
        <v>1.2144685218974649</v>
      </c>
      <c r="J138" s="185">
        <f t="shared" si="36"/>
        <v>7.2868111313847894</v>
      </c>
      <c r="K138" s="192">
        <f t="shared" si="41"/>
        <v>8.2283073115468017</v>
      </c>
      <c r="L138" s="191">
        <f t="shared" si="40"/>
        <v>-0.94149618016201231</v>
      </c>
      <c r="M138" s="188">
        <f t="shared" si="26"/>
        <v>-7.7167778258253564E-2</v>
      </c>
      <c r="N138" s="189">
        <f t="shared" si="27"/>
        <v>-1.0186639584202659</v>
      </c>
      <c r="O138" s="188">
        <v>0</v>
      </c>
      <c r="P138" s="188">
        <v>0</v>
      </c>
      <c r="Q138" s="188">
        <v>0</v>
      </c>
      <c r="R138" s="189">
        <f t="shared" si="28"/>
        <v>-1.0186639584202659</v>
      </c>
    </row>
    <row r="139" spans="1:18" s="205" customFormat="1" x14ac:dyDescent="0.25">
      <c r="A139" s="146">
        <v>12</v>
      </c>
      <c r="B139" s="203">
        <f t="shared" si="35"/>
        <v>45261</v>
      </c>
      <c r="C139" s="201">
        <f t="shared" si="37"/>
        <v>45294</v>
      </c>
      <c r="D139" s="201">
        <f t="shared" si="37"/>
        <v>45315</v>
      </c>
      <c r="E139" s="204" t="s">
        <v>15</v>
      </c>
      <c r="F139" s="157">
        <v>9</v>
      </c>
      <c r="G139" s="183">
        <v>5</v>
      </c>
      <c r="H139" s="193">
        <f t="shared" si="25"/>
        <v>1.371384551924467</v>
      </c>
      <c r="I139" s="193">
        <f t="shared" si="39"/>
        <v>1.2144685218974649</v>
      </c>
      <c r="J139" s="194">
        <f t="shared" si="36"/>
        <v>6.0723426094873245</v>
      </c>
      <c r="K139" s="195">
        <f t="shared" si="41"/>
        <v>6.8569227596223348</v>
      </c>
      <c r="L139" s="196">
        <f t="shared" si="40"/>
        <v>-0.78458015013501026</v>
      </c>
      <c r="M139" s="188">
        <f t="shared" si="26"/>
        <v>-6.4306481881877972E-2</v>
      </c>
      <c r="N139" s="189">
        <f t="shared" si="27"/>
        <v>-0.84888663201688819</v>
      </c>
      <c r="O139" s="188">
        <v>0</v>
      </c>
      <c r="P139" s="188">
        <v>0</v>
      </c>
      <c r="Q139" s="188">
        <v>0</v>
      </c>
      <c r="R139" s="189">
        <f t="shared" si="28"/>
        <v>-0.84888663201688819</v>
      </c>
    </row>
    <row r="140" spans="1:18" x14ac:dyDescent="0.25">
      <c r="A140" s="110">
        <v>1</v>
      </c>
      <c r="B140" s="181">
        <f t="shared" si="35"/>
        <v>44927</v>
      </c>
      <c r="C140" s="198">
        <f t="shared" ref="C140:D151" si="42">+C128</f>
        <v>44960</v>
      </c>
      <c r="D140" s="198">
        <f t="shared" si="42"/>
        <v>44981</v>
      </c>
      <c r="E140" s="208" t="s">
        <v>16</v>
      </c>
      <c r="F140" s="146">
        <v>9</v>
      </c>
      <c r="G140" s="183">
        <v>4</v>
      </c>
      <c r="H140" s="184">
        <f t="shared" si="25"/>
        <v>1.371384551924467</v>
      </c>
      <c r="I140" s="184">
        <f t="shared" si="39"/>
        <v>1.2144685218974649</v>
      </c>
      <c r="J140" s="185">
        <f t="shared" si="36"/>
        <v>4.8578740875898596</v>
      </c>
      <c r="K140" s="186">
        <f t="shared" si="41"/>
        <v>5.4855382076978678</v>
      </c>
      <c r="L140" s="187">
        <f t="shared" si="40"/>
        <v>-0.62766412010800821</v>
      </c>
      <c r="M140" s="188">
        <f t="shared" si="26"/>
        <v>-5.1445185505502367E-2</v>
      </c>
      <c r="N140" s="189">
        <f t="shared" si="27"/>
        <v>-0.67910930561351057</v>
      </c>
      <c r="O140" s="188">
        <v>0</v>
      </c>
      <c r="P140" s="188">
        <v>0</v>
      </c>
      <c r="Q140" s="188">
        <v>0</v>
      </c>
      <c r="R140" s="189">
        <f t="shared" si="28"/>
        <v>-0.67910930561351057</v>
      </c>
    </row>
    <row r="141" spans="1:18" x14ac:dyDescent="0.25">
      <c r="A141" s="146">
        <v>2</v>
      </c>
      <c r="B141" s="181">
        <f t="shared" si="35"/>
        <v>44958</v>
      </c>
      <c r="C141" s="201">
        <f t="shared" si="42"/>
        <v>44988</v>
      </c>
      <c r="D141" s="201">
        <f t="shared" si="42"/>
        <v>45009</v>
      </c>
      <c r="E141" s="52" t="s">
        <v>16</v>
      </c>
      <c r="F141" s="146">
        <v>9</v>
      </c>
      <c r="G141" s="183">
        <v>5</v>
      </c>
      <c r="H141" s="184">
        <f t="shared" si="25"/>
        <v>1.371384551924467</v>
      </c>
      <c r="I141" s="184">
        <f t="shared" si="39"/>
        <v>1.2144685218974649</v>
      </c>
      <c r="J141" s="185">
        <f t="shared" si="36"/>
        <v>6.0723426094873245</v>
      </c>
      <c r="K141" s="186">
        <f t="shared" si="41"/>
        <v>6.8569227596223348</v>
      </c>
      <c r="L141" s="187">
        <f t="shared" si="40"/>
        <v>-0.78458015013501026</v>
      </c>
      <c r="M141" s="188">
        <f t="shared" si="26"/>
        <v>-6.4306481881877972E-2</v>
      </c>
      <c r="N141" s="189">
        <f t="shared" si="27"/>
        <v>-0.84888663201688819</v>
      </c>
      <c r="O141" s="188">
        <v>0</v>
      </c>
      <c r="P141" s="188">
        <v>0</v>
      </c>
      <c r="Q141" s="188">
        <v>0</v>
      </c>
      <c r="R141" s="189">
        <f t="shared" si="28"/>
        <v>-0.84888663201688819</v>
      </c>
    </row>
    <row r="142" spans="1:18" x14ac:dyDescent="0.25">
      <c r="A142" s="146">
        <v>3</v>
      </c>
      <c r="B142" s="181">
        <f t="shared" si="35"/>
        <v>44986</v>
      </c>
      <c r="C142" s="201">
        <f t="shared" si="42"/>
        <v>45021</v>
      </c>
      <c r="D142" s="201">
        <f t="shared" si="42"/>
        <v>45040</v>
      </c>
      <c r="E142" s="52" t="s">
        <v>16</v>
      </c>
      <c r="F142" s="146">
        <v>9</v>
      </c>
      <c r="G142" s="183">
        <v>1</v>
      </c>
      <c r="H142" s="184">
        <f t="shared" si="25"/>
        <v>1.371384551924467</v>
      </c>
      <c r="I142" s="184">
        <f t="shared" si="39"/>
        <v>1.2144685218974649</v>
      </c>
      <c r="J142" s="185">
        <f t="shared" si="36"/>
        <v>1.2144685218974649</v>
      </c>
      <c r="K142" s="186">
        <f t="shared" si="41"/>
        <v>1.371384551924467</v>
      </c>
      <c r="L142" s="187">
        <f>+J142-K142</f>
        <v>-0.15691603002700205</v>
      </c>
      <c r="M142" s="188">
        <f t="shared" si="26"/>
        <v>-1.2861296376375592E-2</v>
      </c>
      <c r="N142" s="189">
        <f t="shared" si="27"/>
        <v>-0.16977732640337764</v>
      </c>
      <c r="O142" s="188">
        <v>0</v>
      </c>
      <c r="P142" s="188">
        <v>0</v>
      </c>
      <c r="Q142" s="188">
        <v>0</v>
      </c>
      <c r="R142" s="189">
        <f t="shared" si="28"/>
        <v>-0.16977732640337764</v>
      </c>
    </row>
    <row r="143" spans="1:18" x14ac:dyDescent="0.25">
      <c r="A143" s="110">
        <v>4</v>
      </c>
      <c r="B143" s="181">
        <f t="shared" si="35"/>
        <v>45017</v>
      </c>
      <c r="C143" s="201">
        <f t="shared" si="42"/>
        <v>45049</v>
      </c>
      <c r="D143" s="201">
        <f t="shared" si="42"/>
        <v>45070</v>
      </c>
      <c r="E143" s="52" t="s">
        <v>16</v>
      </c>
      <c r="F143" s="146">
        <v>9</v>
      </c>
      <c r="G143" s="183">
        <v>7</v>
      </c>
      <c r="H143" s="184">
        <f t="shared" si="25"/>
        <v>1.371384551924467</v>
      </c>
      <c r="I143" s="184">
        <f t="shared" si="39"/>
        <v>1.2144685218974649</v>
      </c>
      <c r="J143" s="185">
        <f t="shared" si="36"/>
        <v>8.5012796532822534</v>
      </c>
      <c r="K143" s="186">
        <f t="shared" si="41"/>
        <v>9.5996918634712678</v>
      </c>
      <c r="L143" s="187">
        <f t="shared" ref="L143:L153" si="43">+J143-K143</f>
        <v>-1.0984122101890144</v>
      </c>
      <c r="M143" s="188">
        <f t="shared" si="26"/>
        <v>-9.0029074634629155E-2</v>
      </c>
      <c r="N143" s="189">
        <f t="shared" si="27"/>
        <v>-1.1884412848236434</v>
      </c>
      <c r="O143" s="188">
        <v>0</v>
      </c>
      <c r="P143" s="188">
        <v>0</v>
      </c>
      <c r="Q143" s="188">
        <v>0</v>
      </c>
      <c r="R143" s="189">
        <f t="shared" si="28"/>
        <v>-1.1884412848236434</v>
      </c>
    </row>
    <row r="144" spans="1:18" x14ac:dyDescent="0.25">
      <c r="A144" s="146">
        <v>5</v>
      </c>
      <c r="B144" s="181">
        <f t="shared" si="35"/>
        <v>45047</v>
      </c>
      <c r="C144" s="201">
        <f t="shared" si="42"/>
        <v>45082</v>
      </c>
      <c r="D144" s="201">
        <f t="shared" si="42"/>
        <v>45103</v>
      </c>
      <c r="E144" s="52" t="s">
        <v>16</v>
      </c>
      <c r="F144" s="146">
        <v>9</v>
      </c>
      <c r="G144" s="183">
        <v>3</v>
      </c>
      <c r="H144" s="184">
        <f t="shared" si="25"/>
        <v>1.371384551924467</v>
      </c>
      <c r="I144" s="184">
        <f t="shared" si="39"/>
        <v>1.2144685218974649</v>
      </c>
      <c r="J144" s="185">
        <f t="shared" si="36"/>
        <v>3.6434055656923947</v>
      </c>
      <c r="K144" s="186">
        <f t="shared" si="41"/>
        <v>4.1141536557734009</v>
      </c>
      <c r="L144" s="187">
        <f t="shared" si="43"/>
        <v>-0.47074809008100615</v>
      </c>
      <c r="M144" s="188">
        <f t="shared" si="26"/>
        <v>-3.8583889129126782E-2</v>
      </c>
      <c r="N144" s="189">
        <f t="shared" si="27"/>
        <v>-0.50933197921013296</v>
      </c>
      <c r="O144" s="188">
        <v>0</v>
      </c>
      <c r="P144" s="188">
        <v>0</v>
      </c>
      <c r="Q144" s="188">
        <v>0</v>
      </c>
      <c r="R144" s="189">
        <f t="shared" si="28"/>
        <v>-0.50933197921013296</v>
      </c>
    </row>
    <row r="145" spans="1:19" x14ac:dyDescent="0.25">
      <c r="A145" s="146">
        <v>6</v>
      </c>
      <c r="B145" s="181">
        <f t="shared" si="35"/>
        <v>45078</v>
      </c>
      <c r="C145" s="201">
        <f t="shared" si="42"/>
        <v>45112</v>
      </c>
      <c r="D145" s="201">
        <f t="shared" si="42"/>
        <v>45131</v>
      </c>
      <c r="E145" s="52" t="s">
        <v>16</v>
      </c>
      <c r="F145" s="146">
        <v>9</v>
      </c>
      <c r="G145" s="183">
        <v>7</v>
      </c>
      <c r="H145" s="184">
        <f t="shared" si="25"/>
        <v>1.371384551924467</v>
      </c>
      <c r="I145" s="184">
        <f t="shared" si="39"/>
        <v>1.2144685218974649</v>
      </c>
      <c r="J145" s="185">
        <f t="shared" si="36"/>
        <v>8.5012796532822534</v>
      </c>
      <c r="K145" s="186">
        <f t="shared" si="41"/>
        <v>9.5996918634712678</v>
      </c>
      <c r="L145" s="191">
        <f t="shared" si="43"/>
        <v>-1.0984122101890144</v>
      </c>
      <c r="M145" s="188">
        <f t="shared" si="26"/>
        <v>-9.0029074634629155E-2</v>
      </c>
      <c r="N145" s="189">
        <f t="shared" si="27"/>
        <v>-1.1884412848236434</v>
      </c>
      <c r="O145" s="188">
        <v>0</v>
      </c>
      <c r="P145" s="188">
        <v>0</v>
      </c>
      <c r="Q145" s="188">
        <v>0</v>
      </c>
      <c r="R145" s="189">
        <f t="shared" si="28"/>
        <v>-1.1884412848236434</v>
      </c>
    </row>
    <row r="146" spans="1:19" x14ac:dyDescent="0.25">
      <c r="A146" s="110">
        <v>7</v>
      </c>
      <c r="B146" s="181">
        <f t="shared" si="35"/>
        <v>45108</v>
      </c>
      <c r="C146" s="201">
        <f t="shared" si="42"/>
        <v>45141</v>
      </c>
      <c r="D146" s="201">
        <f t="shared" si="42"/>
        <v>45162</v>
      </c>
      <c r="E146" s="52" t="s">
        <v>16</v>
      </c>
      <c r="F146" s="146">
        <v>9</v>
      </c>
      <c r="G146" s="183">
        <v>5</v>
      </c>
      <c r="H146" s="184">
        <f t="shared" si="25"/>
        <v>1.371384551924467</v>
      </c>
      <c r="I146" s="184">
        <f t="shared" si="39"/>
        <v>1.2144685218974649</v>
      </c>
      <c r="J146" s="185">
        <f t="shared" si="36"/>
        <v>6.0723426094873245</v>
      </c>
      <c r="K146" s="192">
        <f t="shared" si="41"/>
        <v>6.8569227596223348</v>
      </c>
      <c r="L146" s="191">
        <f t="shared" si="43"/>
        <v>-0.78458015013501026</v>
      </c>
      <c r="M146" s="188">
        <f t="shared" si="26"/>
        <v>-6.4306481881877972E-2</v>
      </c>
      <c r="N146" s="189">
        <f t="shared" si="27"/>
        <v>-0.84888663201688819</v>
      </c>
      <c r="O146" s="188">
        <v>0</v>
      </c>
      <c r="P146" s="188">
        <v>0</v>
      </c>
      <c r="Q146" s="188">
        <v>0</v>
      </c>
      <c r="R146" s="189">
        <f t="shared" si="28"/>
        <v>-0.84888663201688819</v>
      </c>
    </row>
    <row r="147" spans="1:19" x14ac:dyDescent="0.25">
      <c r="A147" s="146">
        <v>8</v>
      </c>
      <c r="B147" s="181">
        <f t="shared" si="35"/>
        <v>45139</v>
      </c>
      <c r="C147" s="201">
        <f t="shared" si="42"/>
        <v>45174</v>
      </c>
      <c r="D147" s="201">
        <f t="shared" si="42"/>
        <v>45194</v>
      </c>
      <c r="E147" s="52" t="s">
        <v>16</v>
      </c>
      <c r="F147" s="146">
        <v>9</v>
      </c>
      <c r="G147" s="183">
        <v>5</v>
      </c>
      <c r="H147" s="184">
        <f t="shared" si="25"/>
        <v>1.371384551924467</v>
      </c>
      <c r="I147" s="184">
        <f t="shared" si="39"/>
        <v>1.2144685218974649</v>
      </c>
      <c r="J147" s="185">
        <f t="shared" si="36"/>
        <v>6.0723426094873245</v>
      </c>
      <c r="K147" s="192">
        <f t="shared" si="41"/>
        <v>6.8569227596223348</v>
      </c>
      <c r="L147" s="191">
        <f t="shared" si="43"/>
        <v>-0.78458015013501026</v>
      </c>
      <c r="M147" s="188">
        <f t="shared" si="26"/>
        <v>-6.4306481881877972E-2</v>
      </c>
      <c r="N147" s="189">
        <f t="shared" si="27"/>
        <v>-0.84888663201688819</v>
      </c>
      <c r="O147" s="188">
        <v>0</v>
      </c>
      <c r="P147" s="188">
        <v>0</v>
      </c>
      <c r="Q147" s="188">
        <v>0</v>
      </c>
      <c r="R147" s="189">
        <f t="shared" si="28"/>
        <v>-0.84888663201688819</v>
      </c>
    </row>
    <row r="148" spans="1:19" x14ac:dyDescent="0.25">
      <c r="A148" s="146">
        <v>9</v>
      </c>
      <c r="B148" s="181">
        <f t="shared" si="35"/>
        <v>45170</v>
      </c>
      <c r="C148" s="201">
        <f t="shared" si="42"/>
        <v>45203</v>
      </c>
      <c r="D148" s="201">
        <f t="shared" si="42"/>
        <v>45223</v>
      </c>
      <c r="E148" s="52" t="s">
        <v>16</v>
      </c>
      <c r="F148" s="146">
        <v>9</v>
      </c>
      <c r="G148" s="183">
        <v>6</v>
      </c>
      <c r="H148" s="184">
        <f t="shared" si="25"/>
        <v>1.371384551924467</v>
      </c>
      <c r="I148" s="184">
        <f t="shared" ref="I148:I179" si="44">$J$3</f>
        <v>1.2144685218974649</v>
      </c>
      <c r="J148" s="185">
        <f t="shared" si="36"/>
        <v>7.2868111313847894</v>
      </c>
      <c r="K148" s="192">
        <f t="shared" si="41"/>
        <v>8.2283073115468017</v>
      </c>
      <c r="L148" s="191">
        <f t="shared" si="43"/>
        <v>-0.94149618016201231</v>
      </c>
      <c r="M148" s="188">
        <f t="shared" si="26"/>
        <v>-7.7167778258253564E-2</v>
      </c>
      <c r="N148" s="189">
        <f t="shared" si="27"/>
        <v>-1.0186639584202659</v>
      </c>
      <c r="O148" s="188">
        <v>0</v>
      </c>
      <c r="P148" s="188">
        <v>0</v>
      </c>
      <c r="Q148" s="188">
        <v>0</v>
      </c>
      <c r="R148" s="189">
        <f t="shared" si="28"/>
        <v>-1.0186639584202659</v>
      </c>
    </row>
    <row r="149" spans="1:19" x14ac:dyDescent="0.25">
      <c r="A149" s="110">
        <v>10</v>
      </c>
      <c r="B149" s="181">
        <f t="shared" ref="B149:B211" si="45">DATE($R$1,A149,1)</f>
        <v>45200</v>
      </c>
      <c r="C149" s="201">
        <f t="shared" si="42"/>
        <v>45233</v>
      </c>
      <c r="D149" s="201">
        <f t="shared" si="42"/>
        <v>45254</v>
      </c>
      <c r="E149" s="52" t="s">
        <v>16</v>
      </c>
      <c r="F149" s="146">
        <v>9</v>
      </c>
      <c r="G149" s="183">
        <v>5</v>
      </c>
      <c r="H149" s="184">
        <f t="shared" ref="H149:H211" si="46">+$K$3</f>
        <v>1.371384551924467</v>
      </c>
      <c r="I149" s="184">
        <f t="shared" si="44"/>
        <v>1.2144685218974649</v>
      </c>
      <c r="J149" s="185">
        <f t="shared" ref="J149:J211" si="47">+$G149*I149</f>
        <v>6.0723426094873245</v>
      </c>
      <c r="K149" s="192">
        <f t="shared" si="41"/>
        <v>6.8569227596223348</v>
      </c>
      <c r="L149" s="191">
        <f t="shared" si="43"/>
        <v>-0.78458015013501026</v>
      </c>
      <c r="M149" s="188">
        <f t="shared" ref="M149:M211" si="48">G149/$G$212*$M$14</f>
        <v>-6.4306481881877972E-2</v>
      </c>
      <c r="N149" s="189">
        <f t="shared" ref="N149:N211" si="49">SUM(L149:M149)</f>
        <v>-0.84888663201688819</v>
      </c>
      <c r="O149" s="188">
        <v>0</v>
      </c>
      <c r="P149" s="188">
        <v>0</v>
      </c>
      <c r="Q149" s="188">
        <v>0</v>
      </c>
      <c r="R149" s="189">
        <f t="shared" ref="R149:R211" si="50">+N149-Q149</f>
        <v>-0.84888663201688819</v>
      </c>
    </row>
    <row r="150" spans="1:19" x14ac:dyDescent="0.25">
      <c r="A150" s="146">
        <v>11</v>
      </c>
      <c r="B150" s="181">
        <f t="shared" si="45"/>
        <v>45231</v>
      </c>
      <c r="C150" s="201">
        <f t="shared" si="42"/>
        <v>45266</v>
      </c>
      <c r="D150" s="201">
        <f t="shared" si="42"/>
        <v>45285</v>
      </c>
      <c r="E150" s="52" t="s">
        <v>16</v>
      </c>
      <c r="F150" s="146">
        <v>9</v>
      </c>
      <c r="G150" s="183">
        <v>4</v>
      </c>
      <c r="H150" s="184">
        <f t="shared" si="46"/>
        <v>1.371384551924467</v>
      </c>
      <c r="I150" s="184">
        <f t="shared" si="44"/>
        <v>1.2144685218974649</v>
      </c>
      <c r="J150" s="185">
        <f t="shared" si="47"/>
        <v>4.8578740875898596</v>
      </c>
      <c r="K150" s="192">
        <f t="shared" si="41"/>
        <v>5.4855382076978678</v>
      </c>
      <c r="L150" s="191">
        <f t="shared" si="43"/>
        <v>-0.62766412010800821</v>
      </c>
      <c r="M150" s="188">
        <f t="shared" si="48"/>
        <v>-5.1445185505502367E-2</v>
      </c>
      <c r="N150" s="189">
        <f t="shared" si="49"/>
        <v>-0.67910930561351057</v>
      </c>
      <c r="O150" s="188">
        <v>0</v>
      </c>
      <c r="P150" s="188">
        <v>0</v>
      </c>
      <c r="Q150" s="188">
        <v>0</v>
      </c>
      <c r="R150" s="189">
        <f t="shared" si="50"/>
        <v>-0.67910930561351057</v>
      </c>
    </row>
    <row r="151" spans="1:19" s="205" customFormat="1" x14ac:dyDescent="0.25">
      <c r="A151" s="146">
        <v>12</v>
      </c>
      <c r="B151" s="203">
        <f t="shared" si="45"/>
        <v>45261</v>
      </c>
      <c r="C151" s="201">
        <f t="shared" si="42"/>
        <v>45294</v>
      </c>
      <c r="D151" s="201">
        <f t="shared" si="42"/>
        <v>45315</v>
      </c>
      <c r="E151" s="204" t="s">
        <v>16</v>
      </c>
      <c r="F151" s="157">
        <v>9</v>
      </c>
      <c r="G151" s="183">
        <v>4</v>
      </c>
      <c r="H151" s="193">
        <f t="shared" si="46"/>
        <v>1.371384551924467</v>
      </c>
      <c r="I151" s="193">
        <f t="shared" si="44"/>
        <v>1.2144685218974649</v>
      </c>
      <c r="J151" s="194">
        <f t="shared" si="47"/>
        <v>4.8578740875898596</v>
      </c>
      <c r="K151" s="195">
        <f t="shared" si="41"/>
        <v>5.4855382076978678</v>
      </c>
      <c r="L151" s="196">
        <f t="shared" si="43"/>
        <v>-0.62766412010800821</v>
      </c>
      <c r="M151" s="188">
        <f t="shared" si="48"/>
        <v>-5.1445185505502367E-2</v>
      </c>
      <c r="N151" s="189">
        <f t="shared" si="49"/>
        <v>-0.67910930561351057</v>
      </c>
      <c r="O151" s="188">
        <v>0</v>
      </c>
      <c r="P151" s="188">
        <v>0</v>
      </c>
      <c r="Q151" s="188">
        <v>0</v>
      </c>
      <c r="R151" s="189">
        <f t="shared" si="50"/>
        <v>-0.67910930561351057</v>
      </c>
    </row>
    <row r="152" spans="1:19" x14ac:dyDescent="0.25">
      <c r="A152" s="110">
        <v>1</v>
      </c>
      <c r="B152" s="181">
        <f t="shared" si="45"/>
        <v>44927</v>
      </c>
      <c r="C152" s="198">
        <f t="shared" ref="C152:D171" si="51">+C140</f>
        <v>44960</v>
      </c>
      <c r="D152" s="198">
        <f t="shared" si="51"/>
        <v>44981</v>
      </c>
      <c r="E152" s="208" t="s">
        <v>56</v>
      </c>
      <c r="F152" s="110">
        <v>9</v>
      </c>
      <c r="G152" s="183">
        <v>113</v>
      </c>
      <c r="H152" s="184">
        <f t="shared" si="46"/>
        <v>1.371384551924467</v>
      </c>
      <c r="I152" s="184">
        <f t="shared" si="44"/>
        <v>1.2144685218974649</v>
      </c>
      <c r="J152" s="185">
        <f t="shared" si="47"/>
        <v>137.23494297441354</v>
      </c>
      <c r="K152" s="186">
        <f t="shared" si="41"/>
        <v>154.96645436746476</v>
      </c>
      <c r="L152" s="187">
        <f t="shared" si="43"/>
        <v>-17.731511393051221</v>
      </c>
      <c r="M152" s="188">
        <f t="shared" si="48"/>
        <v>-1.4533264905304419</v>
      </c>
      <c r="N152" s="189">
        <f t="shared" si="49"/>
        <v>-19.184837883581665</v>
      </c>
      <c r="O152" s="188">
        <v>0</v>
      </c>
      <c r="P152" s="188">
        <v>0</v>
      </c>
      <c r="Q152" s="188">
        <v>0</v>
      </c>
      <c r="R152" s="189">
        <f t="shared" si="50"/>
        <v>-19.184837883581665</v>
      </c>
    </row>
    <row r="153" spans="1:19" x14ac:dyDescent="0.25">
      <c r="A153" s="146">
        <v>2</v>
      </c>
      <c r="B153" s="181">
        <f t="shared" si="45"/>
        <v>44958</v>
      </c>
      <c r="C153" s="201">
        <f t="shared" si="51"/>
        <v>44988</v>
      </c>
      <c r="D153" s="201">
        <f t="shared" si="51"/>
        <v>45009</v>
      </c>
      <c r="E153" s="209" t="s">
        <v>56</v>
      </c>
      <c r="F153" s="146">
        <v>9</v>
      </c>
      <c r="G153" s="183">
        <v>108</v>
      </c>
      <c r="H153" s="184">
        <f t="shared" si="46"/>
        <v>1.371384551924467</v>
      </c>
      <c r="I153" s="184">
        <f t="shared" si="44"/>
        <v>1.2144685218974649</v>
      </c>
      <c r="J153" s="185">
        <f t="shared" si="47"/>
        <v>131.16260036492622</v>
      </c>
      <c r="K153" s="186">
        <f t="shared" si="41"/>
        <v>148.10953160784243</v>
      </c>
      <c r="L153" s="187">
        <f t="shared" si="43"/>
        <v>-16.946931242916207</v>
      </c>
      <c r="M153" s="188">
        <f t="shared" si="48"/>
        <v>-1.3890200086485642</v>
      </c>
      <c r="N153" s="189">
        <f t="shared" si="49"/>
        <v>-18.335951251564772</v>
      </c>
      <c r="O153" s="188">
        <v>0</v>
      </c>
      <c r="P153" s="188">
        <v>0</v>
      </c>
      <c r="Q153" s="188">
        <v>0</v>
      </c>
      <c r="R153" s="189">
        <f t="shared" si="50"/>
        <v>-18.335951251564772</v>
      </c>
    </row>
    <row r="154" spans="1:19" x14ac:dyDescent="0.25">
      <c r="A154" s="146">
        <v>3</v>
      </c>
      <c r="B154" s="181">
        <f t="shared" si="45"/>
        <v>44986</v>
      </c>
      <c r="C154" s="201">
        <f t="shared" si="51"/>
        <v>45021</v>
      </c>
      <c r="D154" s="201">
        <f t="shared" si="51"/>
        <v>45040</v>
      </c>
      <c r="E154" s="209" t="s">
        <v>56</v>
      </c>
      <c r="F154" s="146">
        <v>9</v>
      </c>
      <c r="G154" s="183">
        <v>96</v>
      </c>
      <c r="H154" s="184">
        <f t="shared" si="46"/>
        <v>1.371384551924467</v>
      </c>
      <c r="I154" s="184">
        <f t="shared" si="44"/>
        <v>1.2144685218974649</v>
      </c>
      <c r="J154" s="185">
        <f t="shared" si="47"/>
        <v>116.58897810215663</v>
      </c>
      <c r="K154" s="186">
        <f t="shared" si="41"/>
        <v>131.65291698474883</v>
      </c>
      <c r="L154" s="187">
        <f>+J154-K154</f>
        <v>-15.063938882592197</v>
      </c>
      <c r="M154" s="188">
        <f t="shared" si="48"/>
        <v>-1.234684452132057</v>
      </c>
      <c r="N154" s="189">
        <f t="shared" si="49"/>
        <v>-16.298623334724255</v>
      </c>
      <c r="O154" s="188">
        <v>0</v>
      </c>
      <c r="P154" s="188">
        <v>0</v>
      </c>
      <c r="Q154" s="188">
        <v>0</v>
      </c>
      <c r="R154" s="189">
        <f t="shared" si="50"/>
        <v>-16.298623334724255</v>
      </c>
    </row>
    <row r="155" spans="1:19" x14ac:dyDescent="0.25">
      <c r="A155" s="110">
        <v>4</v>
      </c>
      <c r="B155" s="181">
        <f t="shared" si="45"/>
        <v>45017</v>
      </c>
      <c r="C155" s="201">
        <f t="shared" si="51"/>
        <v>45049</v>
      </c>
      <c r="D155" s="201">
        <f t="shared" si="51"/>
        <v>45070</v>
      </c>
      <c r="E155" s="209" t="s">
        <v>56</v>
      </c>
      <c r="F155" s="146">
        <v>9</v>
      </c>
      <c r="G155" s="183">
        <v>91</v>
      </c>
      <c r="H155" s="184">
        <f t="shared" si="46"/>
        <v>1.371384551924467</v>
      </c>
      <c r="I155" s="184">
        <f t="shared" si="44"/>
        <v>1.2144685218974649</v>
      </c>
      <c r="J155" s="185">
        <f t="shared" si="47"/>
        <v>110.51663549266931</v>
      </c>
      <c r="K155" s="186">
        <f t="shared" si="41"/>
        <v>124.79599422512649</v>
      </c>
      <c r="L155" s="187">
        <f t="shared" ref="L155:L165" si="52">+J155-K155</f>
        <v>-14.279358732457183</v>
      </c>
      <c r="M155" s="188">
        <f t="shared" si="48"/>
        <v>-1.1703779702501791</v>
      </c>
      <c r="N155" s="189">
        <f t="shared" si="49"/>
        <v>-15.449736702707362</v>
      </c>
      <c r="O155" s="188">
        <v>0</v>
      </c>
      <c r="P155" s="188">
        <v>0</v>
      </c>
      <c r="Q155" s="188">
        <v>0</v>
      </c>
      <c r="R155" s="189">
        <f t="shared" si="50"/>
        <v>-15.449736702707362</v>
      </c>
    </row>
    <row r="156" spans="1:19" x14ac:dyDescent="0.25">
      <c r="A156" s="146">
        <v>5</v>
      </c>
      <c r="B156" s="181">
        <f t="shared" si="45"/>
        <v>45047</v>
      </c>
      <c r="C156" s="201">
        <f t="shared" si="51"/>
        <v>45082</v>
      </c>
      <c r="D156" s="201">
        <f t="shared" si="51"/>
        <v>45103</v>
      </c>
      <c r="E156" s="209" t="s">
        <v>56</v>
      </c>
      <c r="F156" s="146">
        <v>9</v>
      </c>
      <c r="G156" s="183">
        <v>125</v>
      </c>
      <c r="H156" s="184">
        <f t="shared" si="46"/>
        <v>1.371384551924467</v>
      </c>
      <c r="I156" s="184">
        <f t="shared" si="44"/>
        <v>1.2144685218974649</v>
      </c>
      <c r="J156" s="185">
        <f t="shared" si="47"/>
        <v>151.8085652371831</v>
      </c>
      <c r="K156" s="186">
        <f t="shared" si="41"/>
        <v>171.42306899055836</v>
      </c>
      <c r="L156" s="187">
        <f t="shared" si="52"/>
        <v>-19.61450375337526</v>
      </c>
      <c r="M156" s="188">
        <f t="shared" si="48"/>
        <v>-1.6076620470469491</v>
      </c>
      <c r="N156" s="189">
        <f t="shared" si="49"/>
        <v>-21.222165800422211</v>
      </c>
      <c r="O156" s="188">
        <v>0</v>
      </c>
      <c r="P156" s="188">
        <v>0</v>
      </c>
      <c r="Q156" s="188">
        <v>0</v>
      </c>
      <c r="R156" s="189">
        <f t="shared" si="50"/>
        <v>-21.222165800422211</v>
      </c>
    </row>
    <row r="157" spans="1:19" x14ac:dyDescent="0.25">
      <c r="A157" s="146">
        <v>6</v>
      </c>
      <c r="B157" s="181">
        <f t="shared" si="45"/>
        <v>45078</v>
      </c>
      <c r="C157" s="201">
        <f t="shared" si="51"/>
        <v>45112</v>
      </c>
      <c r="D157" s="201">
        <f t="shared" si="51"/>
        <v>45131</v>
      </c>
      <c r="E157" s="209" t="s">
        <v>56</v>
      </c>
      <c r="F157" s="146">
        <v>9</v>
      </c>
      <c r="G157" s="183">
        <v>167</v>
      </c>
      <c r="H157" s="184">
        <f t="shared" si="46"/>
        <v>1.371384551924467</v>
      </c>
      <c r="I157" s="184">
        <f t="shared" si="44"/>
        <v>1.2144685218974649</v>
      </c>
      <c r="J157" s="185">
        <f t="shared" si="47"/>
        <v>202.81624315687665</v>
      </c>
      <c r="K157" s="186">
        <f t="shared" si="41"/>
        <v>229.02122017138598</v>
      </c>
      <c r="L157" s="191">
        <f t="shared" si="52"/>
        <v>-26.204977014509325</v>
      </c>
      <c r="M157" s="188">
        <f t="shared" si="48"/>
        <v>-2.1478364948547242</v>
      </c>
      <c r="N157" s="189">
        <f t="shared" si="49"/>
        <v>-28.352813509364047</v>
      </c>
      <c r="O157" s="188">
        <v>0</v>
      </c>
      <c r="P157" s="188">
        <v>0</v>
      </c>
      <c r="Q157" s="188">
        <v>0</v>
      </c>
      <c r="R157" s="189">
        <f t="shared" si="50"/>
        <v>-28.352813509364047</v>
      </c>
    </row>
    <row r="158" spans="1:19" x14ac:dyDescent="0.25">
      <c r="A158" s="110">
        <v>7</v>
      </c>
      <c r="B158" s="181">
        <f t="shared" si="45"/>
        <v>45108</v>
      </c>
      <c r="C158" s="201">
        <f t="shared" si="51"/>
        <v>45141</v>
      </c>
      <c r="D158" s="201">
        <f t="shared" si="51"/>
        <v>45162</v>
      </c>
      <c r="E158" s="209" t="s">
        <v>56</v>
      </c>
      <c r="F158" s="146">
        <v>9</v>
      </c>
      <c r="G158" s="183">
        <v>160</v>
      </c>
      <c r="H158" s="184">
        <f t="shared" si="46"/>
        <v>1.371384551924467</v>
      </c>
      <c r="I158" s="184">
        <f t="shared" si="44"/>
        <v>1.2144685218974649</v>
      </c>
      <c r="J158" s="185">
        <f t="shared" si="47"/>
        <v>194.31496350359438</v>
      </c>
      <c r="K158" s="192">
        <f t="shared" si="41"/>
        <v>219.42152830791471</v>
      </c>
      <c r="L158" s="191">
        <f t="shared" si="52"/>
        <v>-25.106564804320328</v>
      </c>
      <c r="M158" s="188">
        <f t="shared" si="48"/>
        <v>-2.0578074202200951</v>
      </c>
      <c r="N158" s="189">
        <f t="shared" si="49"/>
        <v>-27.164372224540422</v>
      </c>
      <c r="O158" s="188">
        <v>0</v>
      </c>
      <c r="P158" s="188">
        <v>0</v>
      </c>
      <c r="Q158" s="188">
        <v>0</v>
      </c>
      <c r="R158" s="189">
        <f t="shared" si="50"/>
        <v>-27.164372224540422</v>
      </c>
    </row>
    <row r="159" spans="1:19" x14ac:dyDescent="0.25">
      <c r="A159" s="146">
        <v>8</v>
      </c>
      <c r="B159" s="181">
        <f t="shared" si="45"/>
        <v>45139</v>
      </c>
      <c r="C159" s="201">
        <f t="shared" si="51"/>
        <v>45174</v>
      </c>
      <c r="D159" s="201">
        <f t="shared" si="51"/>
        <v>45194</v>
      </c>
      <c r="E159" s="209" t="s">
        <v>56</v>
      </c>
      <c r="F159" s="110">
        <v>9</v>
      </c>
      <c r="G159" s="183">
        <v>181</v>
      </c>
      <c r="H159" s="184">
        <f t="shared" si="46"/>
        <v>1.371384551924467</v>
      </c>
      <c r="I159" s="184">
        <f t="shared" si="44"/>
        <v>1.2144685218974649</v>
      </c>
      <c r="J159" s="185">
        <f t="shared" si="47"/>
        <v>219.81880246344116</v>
      </c>
      <c r="K159" s="192">
        <f t="shared" si="41"/>
        <v>248.22060389832851</v>
      </c>
      <c r="L159" s="191">
        <f t="shared" si="52"/>
        <v>-28.401801434887346</v>
      </c>
      <c r="M159" s="188">
        <f t="shared" si="48"/>
        <v>-2.3278946441239823</v>
      </c>
      <c r="N159" s="189">
        <f t="shared" si="49"/>
        <v>-30.72969607901133</v>
      </c>
      <c r="O159" s="188">
        <v>0</v>
      </c>
      <c r="P159" s="188">
        <v>0</v>
      </c>
      <c r="Q159" s="188">
        <v>0</v>
      </c>
      <c r="R159" s="189">
        <f t="shared" si="50"/>
        <v>-30.72969607901133</v>
      </c>
      <c r="S159" s="50"/>
    </row>
    <row r="160" spans="1:19" x14ac:dyDescent="0.25">
      <c r="A160" s="146">
        <v>9</v>
      </c>
      <c r="B160" s="181">
        <f t="shared" si="45"/>
        <v>45170</v>
      </c>
      <c r="C160" s="201">
        <f t="shared" si="51"/>
        <v>45203</v>
      </c>
      <c r="D160" s="201">
        <f t="shared" si="51"/>
        <v>45223</v>
      </c>
      <c r="E160" s="209" t="s">
        <v>56</v>
      </c>
      <c r="F160" s="110">
        <v>9</v>
      </c>
      <c r="G160" s="183">
        <v>157</v>
      </c>
      <c r="H160" s="184">
        <f t="shared" si="46"/>
        <v>1.371384551924467</v>
      </c>
      <c r="I160" s="184">
        <f t="shared" si="44"/>
        <v>1.2144685218974649</v>
      </c>
      <c r="J160" s="185">
        <f t="shared" si="47"/>
        <v>190.67155793790198</v>
      </c>
      <c r="K160" s="192">
        <f t="shared" si="41"/>
        <v>215.30737465214131</v>
      </c>
      <c r="L160" s="191">
        <f t="shared" si="52"/>
        <v>-24.635816714239326</v>
      </c>
      <c r="M160" s="188">
        <f t="shared" si="48"/>
        <v>-2.0192235310909683</v>
      </c>
      <c r="N160" s="189">
        <f t="shared" si="49"/>
        <v>-26.655040245330294</v>
      </c>
      <c r="O160" s="188">
        <v>0</v>
      </c>
      <c r="P160" s="188">
        <v>0</v>
      </c>
      <c r="Q160" s="188">
        <v>0</v>
      </c>
      <c r="R160" s="189">
        <f t="shared" si="50"/>
        <v>-26.655040245330294</v>
      </c>
    </row>
    <row r="161" spans="1:19" x14ac:dyDescent="0.25">
      <c r="A161" s="110">
        <v>10</v>
      </c>
      <c r="B161" s="181">
        <f t="shared" si="45"/>
        <v>45200</v>
      </c>
      <c r="C161" s="201">
        <f t="shared" si="51"/>
        <v>45233</v>
      </c>
      <c r="D161" s="201">
        <f t="shared" si="51"/>
        <v>45254</v>
      </c>
      <c r="E161" s="209" t="s">
        <v>56</v>
      </c>
      <c r="F161" s="110">
        <v>9</v>
      </c>
      <c r="G161" s="183">
        <v>118</v>
      </c>
      <c r="H161" s="184">
        <f t="shared" si="46"/>
        <v>1.371384551924467</v>
      </c>
      <c r="I161" s="184">
        <f t="shared" si="44"/>
        <v>1.2144685218974649</v>
      </c>
      <c r="J161" s="185">
        <f t="shared" si="47"/>
        <v>143.30728558390086</v>
      </c>
      <c r="K161" s="192">
        <f t="shared" si="41"/>
        <v>161.8233771270871</v>
      </c>
      <c r="L161" s="191">
        <f t="shared" si="52"/>
        <v>-18.516091543186235</v>
      </c>
      <c r="M161" s="188">
        <f t="shared" si="48"/>
        <v>-1.5176329724123201</v>
      </c>
      <c r="N161" s="189">
        <f t="shared" si="49"/>
        <v>-20.033724515598553</v>
      </c>
      <c r="O161" s="188">
        <v>0</v>
      </c>
      <c r="P161" s="188">
        <v>0</v>
      </c>
      <c r="Q161" s="188">
        <v>0</v>
      </c>
      <c r="R161" s="189">
        <f t="shared" si="50"/>
        <v>-20.033724515598553</v>
      </c>
    </row>
    <row r="162" spans="1:19" x14ac:dyDescent="0.25">
      <c r="A162" s="146">
        <v>11</v>
      </c>
      <c r="B162" s="181">
        <f t="shared" si="45"/>
        <v>45231</v>
      </c>
      <c r="C162" s="201">
        <f t="shared" si="51"/>
        <v>45266</v>
      </c>
      <c r="D162" s="201">
        <f t="shared" si="51"/>
        <v>45285</v>
      </c>
      <c r="E162" s="209" t="s">
        <v>56</v>
      </c>
      <c r="F162" s="110">
        <v>9</v>
      </c>
      <c r="G162" s="183">
        <v>102</v>
      </c>
      <c r="H162" s="184">
        <f t="shared" si="46"/>
        <v>1.371384551924467</v>
      </c>
      <c r="I162" s="184">
        <f t="shared" si="44"/>
        <v>1.2144685218974649</v>
      </c>
      <c r="J162" s="185">
        <f t="shared" si="47"/>
        <v>123.87578923354143</v>
      </c>
      <c r="K162" s="192">
        <f t="shared" si="41"/>
        <v>139.88122429629564</v>
      </c>
      <c r="L162" s="191">
        <f t="shared" si="52"/>
        <v>-16.005435062754216</v>
      </c>
      <c r="M162" s="188">
        <f t="shared" si="48"/>
        <v>-1.3118522303903104</v>
      </c>
      <c r="N162" s="189">
        <f t="shared" si="49"/>
        <v>-17.317287293144528</v>
      </c>
      <c r="O162" s="188">
        <v>0</v>
      </c>
      <c r="P162" s="188">
        <v>0</v>
      </c>
      <c r="Q162" s="188">
        <v>0</v>
      </c>
      <c r="R162" s="189">
        <f t="shared" si="50"/>
        <v>-17.317287293144528</v>
      </c>
    </row>
    <row r="163" spans="1:19" s="205" customFormat="1" x14ac:dyDescent="0.25">
      <c r="A163" s="146">
        <v>12</v>
      </c>
      <c r="B163" s="203">
        <f t="shared" si="45"/>
        <v>45261</v>
      </c>
      <c r="C163" s="201">
        <f t="shared" si="51"/>
        <v>45294</v>
      </c>
      <c r="D163" s="201">
        <f t="shared" si="51"/>
        <v>45315</v>
      </c>
      <c r="E163" s="210" t="s">
        <v>56</v>
      </c>
      <c r="F163" s="157">
        <v>9</v>
      </c>
      <c r="G163" s="183">
        <v>99</v>
      </c>
      <c r="H163" s="193">
        <f t="shared" si="46"/>
        <v>1.371384551924467</v>
      </c>
      <c r="I163" s="193">
        <f t="shared" si="44"/>
        <v>1.2144685218974649</v>
      </c>
      <c r="J163" s="194">
        <f t="shared" si="47"/>
        <v>120.23238366784902</v>
      </c>
      <c r="K163" s="195">
        <f t="shared" si="41"/>
        <v>135.76707064052223</v>
      </c>
      <c r="L163" s="196">
        <f t="shared" si="52"/>
        <v>-15.534686972673214</v>
      </c>
      <c r="M163" s="188">
        <f t="shared" si="48"/>
        <v>-1.2732683412611838</v>
      </c>
      <c r="N163" s="189">
        <f t="shared" si="49"/>
        <v>-16.807955313934396</v>
      </c>
      <c r="O163" s="188">
        <v>0</v>
      </c>
      <c r="P163" s="188">
        <v>0</v>
      </c>
      <c r="Q163" s="188">
        <v>0</v>
      </c>
      <c r="R163" s="189">
        <f t="shared" si="50"/>
        <v>-16.807955313934396</v>
      </c>
    </row>
    <row r="164" spans="1:19" x14ac:dyDescent="0.25">
      <c r="A164" s="110">
        <v>1</v>
      </c>
      <c r="B164" s="181">
        <f t="shared" si="45"/>
        <v>44927</v>
      </c>
      <c r="C164" s="198">
        <f t="shared" si="51"/>
        <v>44960</v>
      </c>
      <c r="D164" s="198">
        <f t="shared" si="51"/>
        <v>44981</v>
      </c>
      <c r="E164" s="208" t="s">
        <v>57</v>
      </c>
      <c r="F164" s="110">
        <v>9</v>
      </c>
      <c r="G164" s="183">
        <v>7</v>
      </c>
      <c r="H164" s="184">
        <f t="shared" si="46"/>
        <v>1.371384551924467</v>
      </c>
      <c r="I164" s="184">
        <f t="shared" si="44"/>
        <v>1.2144685218974649</v>
      </c>
      <c r="J164" s="185">
        <f t="shared" si="47"/>
        <v>8.5012796532822534</v>
      </c>
      <c r="K164" s="186">
        <f t="shared" si="41"/>
        <v>9.5996918634712678</v>
      </c>
      <c r="L164" s="187">
        <f t="shared" si="52"/>
        <v>-1.0984122101890144</v>
      </c>
      <c r="M164" s="188">
        <f t="shared" si="48"/>
        <v>-9.0029074634629155E-2</v>
      </c>
      <c r="N164" s="189">
        <f t="shared" si="49"/>
        <v>-1.1884412848236434</v>
      </c>
      <c r="O164" s="188">
        <v>0</v>
      </c>
      <c r="P164" s="188">
        <v>0</v>
      </c>
      <c r="Q164" s="188">
        <v>0</v>
      </c>
      <c r="R164" s="189">
        <f t="shared" si="50"/>
        <v>-1.1884412848236434</v>
      </c>
    </row>
    <row r="165" spans="1:19" x14ac:dyDescent="0.25">
      <c r="A165" s="146">
        <v>2</v>
      </c>
      <c r="B165" s="181">
        <f t="shared" si="45"/>
        <v>44958</v>
      </c>
      <c r="C165" s="201">
        <f t="shared" si="51"/>
        <v>44988</v>
      </c>
      <c r="D165" s="201">
        <f t="shared" si="51"/>
        <v>45009</v>
      </c>
      <c r="E165" s="209" t="s">
        <v>57</v>
      </c>
      <c r="F165" s="146">
        <v>9</v>
      </c>
      <c r="G165" s="183">
        <v>10</v>
      </c>
      <c r="H165" s="184">
        <f t="shared" si="46"/>
        <v>1.371384551924467</v>
      </c>
      <c r="I165" s="184">
        <f t="shared" si="44"/>
        <v>1.2144685218974649</v>
      </c>
      <c r="J165" s="185">
        <f t="shared" si="47"/>
        <v>12.144685218974649</v>
      </c>
      <c r="K165" s="186">
        <f t="shared" si="41"/>
        <v>13.71384551924467</v>
      </c>
      <c r="L165" s="187">
        <f t="shared" si="52"/>
        <v>-1.5691603002700205</v>
      </c>
      <c r="M165" s="188">
        <f t="shared" si="48"/>
        <v>-0.12861296376375594</v>
      </c>
      <c r="N165" s="189">
        <f t="shared" si="49"/>
        <v>-1.6977732640337764</v>
      </c>
      <c r="O165" s="188">
        <v>0</v>
      </c>
      <c r="P165" s="188">
        <v>0</v>
      </c>
      <c r="Q165" s="188">
        <v>0</v>
      </c>
      <c r="R165" s="189">
        <f t="shared" si="50"/>
        <v>-1.6977732640337764</v>
      </c>
    </row>
    <row r="166" spans="1:19" x14ac:dyDescent="0.25">
      <c r="A166" s="146">
        <v>3</v>
      </c>
      <c r="B166" s="181">
        <f t="shared" si="45"/>
        <v>44986</v>
      </c>
      <c r="C166" s="201">
        <f t="shared" si="51"/>
        <v>45021</v>
      </c>
      <c r="D166" s="201">
        <f t="shared" si="51"/>
        <v>45040</v>
      </c>
      <c r="E166" s="209" t="s">
        <v>57</v>
      </c>
      <c r="F166" s="146">
        <v>9</v>
      </c>
      <c r="G166" s="183">
        <v>8</v>
      </c>
      <c r="H166" s="184">
        <f t="shared" si="46"/>
        <v>1.371384551924467</v>
      </c>
      <c r="I166" s="184">
        <f t="shared" si="44"/>
        <v>1.2144685218974649</v>
      </c>
      <c r="J166" s="185">
        <f t="shared" si="47"/>
        <v>9.7157481751797192</v>
      </c>
      <c r="K166" s="186">
        <f t="shared" si="41"/>
        <v>10.971076415395736</v>
      </c>
      <c r="L166" s="187">
        <f>+J166-K166</f>
        <v>-1.2553282402160164</v>
      </c>
      <c r="M166" s="188">
        <f t="shared" si="48"/>
        <v>-0.10289037101100473</v>
      </c>
      <c r="N166" s="189">
        <f t="shared" si="49"/>
        <v>-1.3582186112270211</v>
      </c>
      <c r="O166" s="188">
        <v>0</v>
      </c>
      <c r="P166" s="188">
        <v>0</v>
      </c>
      <c r="Q166" s="188">
        <v>0</v>
      </c>
      <c r="R166" s="189">
        <f t="shared" si="50"/>
        <v>-1.3582186112270211</v>
      </c>
    </row>
    <row r="167" spans="1:19" x14ac:dyDescent="0.25">
      <c r="A167" s="110">
        <v>4</v>
      </c>
      <c r="B167" s="181">
        <f t="shared" si="45"/>
        <v>45017</v>
      </c>
      <c r="C167" s="201">
        <f t="shared" si="51"/>
        <v>45049</v>
      </c>
      <c r="D167" s="201">
        <f t="shared" si="51"/>
        <v>45070</v>
      </c>
      <c r="E167" s="209" t="s">
        <v>57</v>
      </c>
      <c r="F167" s="146">
        <v>9</v>
      </c>
      <c r="G167" s="183">
        <v>8</v>
      </c>
      <c r="H167" s="184">
        <f t="shared" si="46"/>
        <v>1.371384551924467</v>
      </c>
      <c r="I167" s="184">
        <f t="shared" si="44"/>
        <v>1.2144685218974649</v>
      </c>
      <c r="J167" s="185">
        <f t="shared" si="47"/>
        <v>9.7157481751797192</v>
      </c>
      <c r="K167" s="186">
        <f t="shared" si="41"/>
        <v>10.971076415395736</v>
      </c>
      <c r="L167" s="187">
        <f t="shared" ref="L167:L177" si="53">+J167-K167</f>
        <v>-1.2553282402160164</v>
      </c>
      <c r="M167" s="188">
        <f t="shared" si="48"/>
        <v>-0.10289037101100473</v>
      </c>
      <c r="N167" s="189">
        <f t="shared" si="49"/>
        <v>-1.3582186112270211</v>
      </c>
      <c r="O167" s="188">
        <v>0</v>
      </c>
      <c r="P167" s="188">
        <v>0</v>
      </c>
      <c r="Q167" s="188">
        <v>0</v>
      </c>
      <c r="R167" s="189">
        <f t="shared" si="50"/>
        <v>-1.3582186112270211</v>
      </c>
    </row>
    <row r="168" spans="1:19" x14ac:dyDescent="0.25">
      <c r="A168" s="146">
        <v>5</v>
      </c>
      <c r="B168" s="181">
        <f t="shared" si="45"/>
        <v>45047</v>
      </c>
      <c r="C168" s="201">
        <f t="shared" si="51"/>
        <v>45082</v>
      </c>
      <c r="D168" s="201">
        <f t="shared" si="51"/>
        <v>45103</v>
      </c>
      <c r="E168" s="209" t="s">
        <v>57</v>
      </c>
      <c r="F168" s="146">
        <v>9</v>
      </c>
      <c r="G168" s="183">
        <v>10</v>
      </c>
      <c r="H168" s="184">
        <f t="shared" si="46"/>
        <v>1.371384551924467</v>
      </c>
      <c r="I168" s="184">
        <f t="shared" si="44"/>
        <v>1.2144685218974649</v>
      </c>
      <c r="J168" s="185">
        <f t="shared" si="47"/>
        <v>12.144685218974649</v>
      </c>
      <c r="K168" s="186">
        <f t="shared" si="41"/>
        <v>13.71384551924467</v>
      </c>
      <c r="L168" s="187">
        <f t="shared" si="53"/>
        <v>-1.5691603002700205</v>
      </c>
      <c r="M168" s="188">
        <f t="shared" si="48"/>
        <v>-0.12861296376375594</v>
      </c>
      <c r="N168" s="189">
        <f t="shared" si="49"/>
        <v>-1.6977732640337764</v>
      </c>
      <c r="O168" s="188">
        <v>0</v>
      </c>
      <c r="P168" s="188">
        <v>0</v>
      </c>
      <c r="Q168" s="188">
        <v>0</v>
      </c>
      <c r="R168" s="189">
        <f t="shared" si="50"/>
        <v>-1.6977732640337764</v>
      </c>
    </row>
    <row r="169" spans="1:19" x14ac:dyDescent="0.25">
      <c r="A169" s="146">
        <v>6</v>
      </c>
      <c r="B169" s="181">
        <f t="shared" si="45"/>
        <v>45078</v>
      </c>
      <c r="C169" s="201">
        <f t="shared" si="51"/>
        <v>45112</v>
      </c>
      <c r="D169" s="201">
        <f t="shared" si="51"/>
        <v>45131</v>
      </c>
      <c r="E169" s="209" t="s">
        <v>57</v>
      </c>
      <c r="F169" s="146">
        <v>9</v>
      </c>
      <c r="G169" s="183">
        <v>12</v>
      </c>
      <c r="H169" s="184">
        <f t="shared" si="46"/>
        <v>1.371384551924467</v>
      </c>
      <c r="I169" s="184">
        <f t="shared" si="44"/>
        <v>1.2144685218974649</v>
      </c>
      <c r="J169" s="185">
        <f t="shared" si="47"/>
        <v>14.573622262769579</v>
      </c>
      <c r="K169" s="186">
        <f t="shared" si="41"/>
        <v>16.456614623093603</v>
      </c>
      <c r="L169" s="191">
        <f t="shared" si="53"/>
        <v>-1.8829923603240246</v>
      </c>
      <c r="M169" s="188">
        <f t="shared" si="48"/>
        <v>-0.15433555651650713</v>
      </c>
      <c r="N169" s="189">
        <f t="shared" si="49"/>
        <v>-2.0373279168405318</v>
      </c>
      <c r="O169" s="188">
        <v>0</v>
      </c>
      <c r="P169" s="188">
        <v>0</v>
      </c>
      <c r="Q169" s="188">
        <v>0</v>
      </c>
      <c r="R169" s="189">
        <f t="shared" si="50"/>
        <v>-2.0373279168405318</v>
      </c>
    </row>
    <row r="170" spans="1:19" x14ac:dyDescent="0.25">
      <c r="A170" s="110">
        <v>7</v>
      </c>
      <c r="B170" s="181">
        <f t="shared" si="45"/>
        <v>45108</v>
      </c>
      <c r="C170" s="201">
        <f t="shared" si="51"/>
        <v>45141</v>
      </c>
      <c r="D170" s="201">
        <f t="shared" si="51"/>
        <v>45162</v>
      </c>
      <c r="E170" s="209" t="s">
        <v>57</v>
      </c>
      <c r="F170" s="146">
        <v>9</v>
      </c>
      <c r="G170" s="183">
        <v>14</v>
      </c>
      <c r="H170" s="184">
        <f t="shared" si="46"/>
        <v>1.371384551924467</v>
      </c>
      <c r="I170" s="184">
        <f t="shared" si="44"/>
        <v>1.2144685218974649</v>
      </c>
      <c r="J170" s="185">
        <f t="shared" si="47"/>
        <v>17.002559306564507</v>
      </c>
      <c r="K170" s="192">
        <f t="shared" si="41"/>
        <v>19.199383726942536</v>
      </c>
      <c r="L170" s="191">
        <f t="shared" si="53"/>
        <v>-2.1968244203780287</v>
      </c>
      <c r="M170" s="188">
        <f t="shared" si="48"/>
        <v>-0.18005814926925831</v>
      </c>
      <c r="N170" s="189">
        <f t="shared" si="49"/>
        <v>-2.3768825696472868</v>
      </c>
      <c r="O170" s="188">
        <v>0</v>
      </c>
      <c r="P170" s="188">
        <v>0</v>
      </c>
      <c r="Q170" s="188">
        <v>0</v>
      </c>
      <c r="R170" s="189">
        <f t="shared" si="50"/>
        <v>-2.3768825696472868</v>
      </c>
    </row>
    <row r="171" spans="1:19" x14ac:dyDescent="0.25">
      <c r="A171" s="146">
        <v>8</v>
      </c>
      <c r="B171" s="181">
        <f t="shared" si="45"/>
        <v>45139</v>
      </c>
      <c r="C171" s="201">
        <f t="shared" si="51"/>
        <v>45174</v>
      </c>
      <c r="D171" s="201">
        <f t="shared" si="51"/>
        <v>45194</v>
      </c>
      <c r="E171" s="209" t="s">
        <v>57</v>
      </c>
      <c r="F171" s="110">
        <v>9</v>
      </c>
      <c r="G171" s="183">
        <v>13</v>
      </c>
      <c r="H171" s="184">
        <f t="shared" si="46"/>
        <v>1.371384551924467</v>
      </c>
      <c r="I171" s="184">
        <f t="shared" si="44"/>
        <v>1.2144685218974649</v>
      </c>
      <c r="J171" s="185">
        <f t="shared" si="47"/>
        <v>15.788090784667045</v>
      </c>
      <c r="K171" s="192">
        <f t="shared" si="41"/>
        <v>17.827999175018071</v>
      </c>
      <c r="L171" s="191">
        <f t="shared" si="53"/>
        <v>-2.0399083903510267</v>
      </c>
      <c r="M171" s="188">
        <f t="shared" si="48"/>
        <v>-0.16719685289288269</v>
      </c>
      <c r="N171" s="189">
        <f t="shared" si="49"/>
        <v>-2.2071052432439093</v>
      </c>
      <c r="O171" s="188">
        <v>0</v>
      </c>
      <c r="P171" s="188">
        <v>0</v>
      </c>
      <c r="Q171" s="188">
        <v>0</v>
      </c>
      <c r="R171" s="189">
        <f t="shared" si="50"/>
        <v>-2.2071052432439093</v>
      </c>
      <c r="S171" s="50"/>
    </row>
    <row r="172" spans="1:19" x14ac:dyDescent="0.25">
      <c r="A172" s="146">
        <v>9</v>
      </c>
      <c r="B172" s="181">
        <f t="shared" si="45"/>
        <v>45170</v>
      </c>
      <c r="C172" s="201">
        <f t="shared" ref="C172:D175" si="54">+C160</f>
        <v>45203</v>
      </c>
      <c r="D172" s="201">
        <f t="shared" si="54"/>
        <v>45223</v>
      </c>
      <c r="E172" s="209" t="s">
        <v>57</v>
      </c>
      <c r="F172" s="110">
        <v>9</v>
      </c>
      <c r="G172" s="183">
        <v>13</v>
      </c>
      <c r="H172" s="184">
        <f t="shared" si="46"/>
        <v>1.371384551924467</v>
      </c>
      <c r="I172" s="184">
        <f t="shared" si="44"/>
        <v>1.2144685218974649</v>
      </c>
      <c r="J172" s="185">
        <f t="shared" si="47"/>
        <v>15.788090784667045</v>
      </c>
      <c r="K172" s="192">
        <f t="shared" si="41"/>
        <v>17.827999175018071</v>
      </c>
      <c r="L172" s="191">
        <f t="shared" si="53"/>
        <v>-2.0399083903510267</v>
      </c>
      <c r="M172" s="188">
        <f t="shared" si="48"/>
        <v>-0.16719685289288269</v>
      </c>
      <c r="N172" s="189">
        <f t="shared" si="49"/>
        <v>-2.2071052432439093</v>
      </c>
      <c r="O172" s="188">
        <v>0</v>
      </c>
      <c r="P172" s="188">
        <v>0</v>
      </c>
      <c r="Q172" s="188">
        <v>0</v>
      </c>
      <c r="R172" s="189">
        <f t="shared" si="50"/>
        <v>-2.2071052432439093</v>
      </c>
    </row>
    <row r="173" spans="1:19" x14ac:dyDescent="0.25">
      <c r="A173" s="110">
        <v>10</v>
      </c>
      <c r="B173" s="181">
        <f t="shared" si="45"/>
        <v>45200</v>
      </c>
      <c r="C173" s="201">
        <f t="shared" si="54"/>
        <v>45233</v>
      </c>
      <c r="D173" s="201">
        <f t="shared" si="54"/>
        <v>45254</v>
      </c>
      <c r="E173" s="209" t="s">
        <v>57</v>
      </c>
      <c r="F173" s="110">
        <v>9</v>
      </c>
      <c r="G173" s="183">
        <v>11</v>
      </c>
      <c r="H173" s="184">
        <f t="shared" si="46"/>
        <v>1.371384551924467</v>
      </c>
      <c r="I173" s="184">
        <f t="shared" si="44"/>
        <v>1.2144685218974649</v>
      </c>
      <c r="J173" s="185">
        <f t="shared" si="47"/>
        <v>13.359153740872113</v>
      </c>
      <c r="K173" s="192">
        <f t="shared" si="41"/>
        <v>15.085230071169136</v>
      </c>
      <c r="L173" s="191">
        <f t="shared" si="53"/>
        <v>-1.7260763302970226</v>
      </c>
      <c r="M173" s="188">
        <f t="shared" si="48"/>
        <v>-0.14147426014013154</v>
      </c>
      <c r="N173" s="189">
        <f t="shared" si="49"/>
        <v>-1.8675505904371541</v>
      </c>
      <c r="O173" s="188">
        <v>0</v>
      </c>
      <c r="P173" s="188">
        <v>0</v>
      </c>
      <c r="Q173" s="188">
        <v>0</v>
      </c>
      <c r="R173" s="189">
        <f t="shared" si="50"/>
        <v>-1.8675505904371541</v>
      </c>
    </row>
    <row r="174" spans="1:19" x14ac:dyDescent="0.25">
      <c r="A174" s="146">
        <v>11</v>
      </c>
      <c r="B174" s="181">
        <f t="shared" si="45"/>
        <v>45231</v>
      </c>
      <c r="C174" s="201">
        <f t="shared" si="54"/>
        <v>45266</v>
      </c>
      <c r="D174" s="201">
        <f t="shared" si="54"/>
        <v>45285</v>
      </c>
      <c r="E174" s="209" t="s">
        <v>57</v>
      </c>
      <c r="F174" s="110">
        <v>9</v>
      </c>
      <c r="G174" s="183">
        <v>7</v>
      </c>
      <c r="H174" s="184">
        <f t="shared" si="46"/>
        <v>1.371384551924467</v>
      </c>
      <c r="I174" s="184">
        <f t="shared" si="44"/>
        <v>1.2144685218974649</v>
      </c>
      <c r="J174" s="185">
        <f t="shared" si="47"/>
        <v>8.5012796532822534</v>
      </c>
      <c r="K174" s="192">
        <f t="shared" si="41"/>
        <v>9.5996918634712678</v>
      </c>
      <c r="L174" s="191">
        <f t="shared" si="53"/>
        <v>-1.0984122101890144</v>
      </c>
      <c r="M174" s="188">
        <f t="shared" si="48"/>
        <v>-9.0029074634629155E-2</v>
      </c>
      <c r="N174" s="189">
        <f t="shared" si="49"/>
        <v>-1.1884412848236434</v>
      </c>
      <c r="O174" s="188">
        <v>0</v>
      </c>
      <c r="P174" s="188">
        <v>0</v>
      </c>
      <c r="Q174" s="188">
        <v>0</v>
      </c>
      <c r="R174" s="189">
        <f t="shared" si="50"/>
        <v>-1.1884412848236434</v>
      </c>
    </row>
    <row r="175" spans="1:19" s="205" customFormat="1" x14ac:dyDescent="0.25">
      <c r="A175" s="146">
        <v>12</v>
      </c>
      <c r="B175" s="203">
        <f t="shared" si="45"/>
        <v>45261</v>
      </c>
      <c r="C175" s="201">
        <f t="shared" si="54"/>
        <v>45294</v>
      </c>
      <c r="D175" s="201">
        <f t="shared" si="54"/>
        <v>45315</v>
      </c>
      <c r="E175" s="210" t="s">
        <v>57</v>
      </c>
      <c r="F175" s="157">
        <v>9</v>
      </c>
      <c r="G175" s="183">
        <v>8</v>
      </c>
      <c r="H175" s="193">
        <f t="shared" si="46"/>
        <v>1.371384551924467</v>
      </c>
      <c r="I175" s="193">
        <f t="shared" si="44"/>
        <v>1.2144685218974649</v>
      </c>
      <c r="J175" s="194">
        <f t="shared" si="47"/>
        <v>9.7157481751797192</v>
      </c>
      <c r="K175" s="195">
        <f t="shared" si="41"/>
        <v>10.971076415395736</v>
      </c>
      <c r="L175" s="196">
        <f t="shared" si="53"/>
        <v>-1.2553282402160164</v>
      </c>
      <c r="M175" s="188">
        <f t="shared" si="48"/>
        <v>-0.10289037101100473</v>
      </c>
      <c r="N175" s="189">
        <f t="shared" si="49"/>
        <v>-1.3582186112270211</v>
      </c>
      <c r="O175" s="188">
        <v>0</v>
      </c>
      <c r="P175" s="188">
        <v>0</v>
      </c>
      <c r="Q175" s="188">
        <v>0</v>
      </c>
      <c r="R175" s="189">
        <f t="shared" si="50"/>
        <v>-1.3582186112270211</v>
      </c>
    </row>
    <row r="176" spans="1:19" x14ac:dyDescent="0.25">
      <c r="A176" s="110">
        <v>1</v>
      </c>
      <c r="B176" s="181">
        <f t="shared" si="45"/>
        <v>44927</v>
      </c>
      <c r="C176" s="198">
        <f t="shared" ref="C176:D187" si="55">+C152</f>
        <v>44960</v>
      </c>
      <c r="D176" s="198">
        <f t="shared" si="55"/>
        <v>44981</v>
      </c>
      <c r="E176" s="208" t="s">
        <v>58</v>
      </c>
      <c r="F176" s="146">
        <v>9</v>
      </c>
      <c r="G176" s="183">
        <v>21</v>
      </c>
      <c r="H176" s="184">
        <f t="shared" si="46"/>
        <v>1.371384551924467</v>
      </c>
      <c r="I176" s="184">
        <f t="shared" si="44"/>
        <v>1.2144685218974649</v>
      </c>
      <c r="J176" s="185">
        <f t="shared" si="47"/>
        <v>25.503838959846764</v>
      </c>
      <c r="K176" s="186">
        <f t="shared" si="41"/>
        <v>28.799075590413807</v>
      </c>
      <c r="L176" s="187">
        <f t="shared" si="53"/>
        <v>-3.2952366305670431</v>
      </c>
      <c r="M176" s="188">
        <f t="shared" si="48"/>
        <v>-0.27008722390388745</v>
      </c>
      <c r="N176" s="189">
        <f t="shared" si="49"/>
        <v>-3.5653238544709307</v>
      </c>
      <c r="O176" s="188">
        <v>0</v>
      </c>
      <c r="P176" s="188">
        <v>0</v>
      </c>
      <c r="Q176" s="188">
        <v>0</v>
      </c>
      <c r="R176" s="189">
        <f t="shared" si="50"/>
        <v>-3.5653238544709307</v>
      </c>
    </row>
    <row r="177" spans="1:18" x14ac:dyDescent="0.25">
      <c r="A177" s="146">
        <v>2</v>
      </c>
      <c r="B177" s="181">
        <f t="shared" si="45"/>
        <v>44958</v>
      </c>
      <c r="C177" s="201">
        <f t="shared" si="55"/>
        <v>44988</v>
      </c>
      <c r="D177" s="201">
        <f t="shared" si="55"/>
        <v>45009</v>
      </c>
      <c r="E177" s="52" t="s">
        <v>58</v>
      </c>
      <c r="F177" s="146">
        <v>9</v>
      </c>
      <c r="G177" s="183">
        <v>21</v>
      </c>
      <c r="H177" s="184">
        <f t="shared" si="46"/>
        <v>1.371384551924467</v>
      </c>
      <c r="I177" s="184">
        <f t="shared" si="44"/>
        <v>1.2144685218974649</v>
      </c>
      <c r="J177" s="185">
        <f t="shared" si="47"/>
        <v>25.503838959846764</v>
      </c>
      <c r="K177" s="186">
        <f t="shared" si="41"/>
        <v>28.799075590413807</v>
      </c>
      <c r="L177" s="187">
        <f t="shared" si="53"/>
        <v>-3.2952366305670431</v>
      </c>
      <c r="M177" s="188">
        <f t="shared" si="48"/>
        <v>-0.27008722390388745</v>
      </c>
      <c r="N177" s="189">
        <f t="shared" si="49"/>
        <v>-3.5653238544709307</v>
      </c>
      <c r="O177" s="188">
        <v>0</v>
      </c>
      <c r="P177" s="188">
        <v>0</v>
      </c>
      <c r="Q177" s="188">
        <v>0</v>
      </c>
      <c r="R177" s="189">
        <f t="shared" si="50"/>
        <v>-3.5653238544709307</v>
      </c>
    </row>
    <row r="178" spans="1:18" x14ac:dyDescent="0.25">
      <c r="A178" s="146">
        <v>3</v>
      </c>
      <c r="B178" s="181">
        <f t="shared" si="45"/>
        <v>44986</v>
      </c>
      <c r="C178" s="201">
        <f t="shared" si="55"/>
        <v>45021</v>
      </c>
      <c r="D178" s="201">
        <f t="shared" si="55"/>
        <v>45040</v>
      </c>
      <c r="E178" s="52" t="s">
        <v>58</v>
      </c>
      <c r="F178" s="146">
        <v>9</v>
      </c>
      <c r="G178" s="183">
        <v>19</v>
      </c>
      <c r="H178" s="184">
        <f t="shared" si="46"/>
        <v>1.371384551924467</v>
      </c>
      <c r="I178" s="184">
        <f t="shared" si="44"/>
        <v>1.2144685218974649</v>
      </c>
      <c r="J178" s="185">
        <f t="shared" si="47"/>
        <v>23.074901916051832</v>
      </c>
      <c r="K178" s="186">
        <f t="shared" si="41"/>
        <v>26.056306486564871</v>
      </c>
      <c r="L178" s="187">
        <f>+J178-K178</f>
        <v>-2.981404570513039</v>
      </c>
      <c r="M178" s="188">
        <f t="shared" si="48"/>
        <v>-0.2443646311511363</v>
      </c>
      <c r="N178" s="189">
        <f t="shared" si="49"/>
        <v>-3.2257692016641752</v>
      </c>
      <c r="O178" s="188">
        <v>0</v>
      </c>
      <c r="P178" s="188">
        <v>0</v>
      </c>
      <c r="Q178" s="188">
        <v>0</v>
      </c>
      <c r="R178" s="189">
        <f t="shared" si="50"/>
        <v>-3.2257692016641752</v>
      </c>
    </row>
    <row r="179" spans="1:18" x14ac:dyDescent="0.25">
      <c r="A179" s="110">
        <v>4</v>
      </c>
      <c r="B179" s="181">
        <f t="shared" si="45"/>
        <v>45017</v>
      </c>
      <c r="C179" s="201">
        <f t="shared" si="55"/>
        <v>45049</v>
      </c>
      <c r="D179" s="201">
        <f t="shared" si="55"/>
        <v>45070</v>
      </c>
      <c r="E179" s="52" t="s">
        <v>58</v>
      </c>
      <c r="F179" s="146">
        <v>9</v>
      </c>
      <c r="G179" s="183">
        <v>21</v>
      </c>
      <c r="H179" s="184">
        <f t="shared" si="46"/>
        <v>1.371384551924467</v>
      </c>
      <c r="I179" s="184">
        <f t="shared" si="44"/>
        <v>1.2144685218974649</v>
      </c>
      <c r="J179" s="185">
        <f t="shared" si="47"/>
        <v>25.503838959846764</v>
      </c>
      <c r="K179" s="186">
        <f t="shared" si="41"/>
        <v>28.799075590413807</v>
      </c>
      <c r="L179" s="187">
        <f t="shared" ref="L179:L189" si="56">+J179-K179</f>
        <v>-3.2952366305670431</v>
      </c>
      <c r="M179" s="188">
        <f t="shared" si="48"/>
        <v>-0.27008722390388745</v>
      </c>
      <c r="N179" s="189">
        <f t="shared" si="49"/>
        <v>-3.5653238544709307</v>
      </c>
      <c r="O179" s="188">
        <v>0</v>
      </c>
      <c r="P179" s="188">
        <v>0</v>
      </c>
      <c r="Q179" s="188">
        <v>0</v>
      </c>
      <c r="R179" s="189">
        <f t="shared" si="50"/>
        <v>-3.5653238544709307</v>
      </c>
    </row>
    <row r="180" spans="1:18" x14ac:dyDescent="0.25">
      <c r="A180" s="146">
        <v>5</v>
      </c>
      <c r="B180" s="181">
        <f t="shared" si="45"/>
        <v>45047</v>
      </c>
      <c r="C180" s="201">
        <f t="shared" si="55"/>
        <v>45082</v>
      </c>
      <c r="D180" s="201">
        <f t="shared" si="55"/>
        <v>45103</v>
      </c>
      <c r="E180" s="52" t="s">
        <v>58</v>
      </c>
      <c r="F180" s="146">
        <v>9</v>
      </c>
      <c r="G180" s="183">
        <v>28</v>
      </c>
      <c r="H180" s="184">
        <f t="shared" si="46"/>
        <v>1.371384551924467</v>
      </c>
      <c r="I180" s="184">
        <f t="shared" ref="I180:I211" si="57">$J$3</f>
        <v>1.2144685218974649</v>
      </c>
      <c r="J180" s="185">
        <f t="shared" si="47"/>
        <v>34.005118613129014</v>
      </c>
      <c r="K180" s="186">
        <f t="shared" si="41"/>
        <v>38.398767453885071</v>
      </c>
      <c r="L180" s="187">
        <f t="shared" si="56"/>
        <v>-4.3936488407560574</v>
      </c>
      <c r="M180" s="188">
        <f t="shared" si="48"/>
        <v>-0.36011629853851662</v>
      </c>
      <c r="N180" s="189">
        <f t="shared" si="49"/>
        <v>-4.7537651392945737</v>
      </c>
      <c r="O180" s="188">
        <v>0</v>
      </c>
      <c r="P180" s="188">
        <v>0</v>
      </c>
      <c r="Q180" s="188">
        <v>0</v>
      </c>
      <c r="R180" s="189">
        <f t="shared" si="50"/>
        <v>-4.7537651392945737</v>
      </c>
    </row>
    <row r="181" spans="1:18" x14ac:dyDescent="0.25">
      <c r="A181" s="146">
        <v>6</v>
      </c>
      <c r="B181" s="181">
        <f t="shared" si="45"/>
        <v>45078</v>
      </c>
      <c r="C181" s="201">
        <f t="shared" si="55"/>
        <v>45112</v>
      </c>
      <c r="D181" s="201">
        <f t="shared" si="55"/>
        <v>45131</v>
      </c>
      <c r="E181" s="52" t="s">
        <v>58</v>
      </c>
      <c r="F181" s="146">
        <v>9</v>
      </c>
      <c r="G181" s="183">
        <v>37</v>
      </c>
      <c r="H181" s="184">
        <f t="shared" si="46"/>
        <v>1.371384551924467</v>
      </c>
      <c r="I181" s="184">
        <f t="shared" si="57"/>
        <v>1.2144685218974649</v>
      </c>
      <c r="J181" s="185">
        <f t="shared" si="47"/>
        <v>44.935335310206199</v>
      </c>
      <c r="K181" s="186">
        <f t="shared" si="41"/>
        <v>50.741228421205278</v>
      </c>
      <c r="L181" s="191">
        <f t="shared" si="56"/>
        <v>-5.8058931109990795</v>
      </c>
      <c r="M181" s="188">
        <f t="shared" si="48"/>
        <v>-0.47586796592589692</v>
      </c>
      <c r="N181" s="189">
        <f t="shared" si="49"/>
        <v>-6.2817610769249761</v>
      </c>
      <c r="O181" s="188">
        <v>0</v>
      </c>
      <c r="P181" s="188">
        <v>0</v>
      </c>
      <c r="Q181" s="188">
        <v>0</v>
      </c>
      <c r="R181" s="189">
        <f t="shared" si="50"/>
        <v>-6.2817610769249761</v>
      </c>
    </row>
    <row r="182" spans="1:18" x14ac:dyDescent="0.25">
      <c r="A182" s="110">
        <v>7</v>
      </c>
      <c r="B182" s="181">
        <f t="shared" si="45"/>
        <v>45108</v>
      </c>
      <c r="C182" s="201">
        <f t="shared" si="55"/>
        <v>45141</v>
      </c>
      <c r="D182" s="201">
        <f t="shared" si="55"/>
        <v>45162</v>
      </c>
      <c r="E182" s="52" t="s">
        <v>58</v>
      </c>
      <c r="F182" s="146">
        <v>9</v>
      </c>
      <c r="G182" s="183">
        <v>38</v>
      </c>
      <c r="H182" s="184">
        <f t="shared" si="46"/>
        <v>1.371384551924467</v>
      </c>
      <c r="I182" s="184">
        <f t="shared" si="57"/>
        <v>1.2144685218974649</v>
      </c>
      <c r="J182" s="185">
        <f t="shared" si="47"/>
        <v>46.149803832103665</v>
      </c>
      <c r="K182" s="192">
        <f t="shared" si="41"/>
        <v>52.112612973129742</v>
      </c>
      <c r="L182" s="191">
        <f t="shared" si="56"/>
        <v>-5.962809141026078</v>
      </c>
      <c r="M182" s="188">
        <f t="shared" si="48"/>
        <v>-0.48872926230227259</v>
      </c>
      <c r="N182" s="189">
        <f t="shared" si="49"/>
        <v>-6.4515384033283505</v>
      </c>
      <c r="O182" s="188">
        <v>0</v>
      </c>
      <c r="P182" s="188">
        <v>0</v>
      </c>
      <c r="Q182" s="188">
        <v>0</v>
      </c>
      <c r="R182" s="189">
        <f t="shared" si="50"/>
        <v>-6.4515384033283505</v>
      </c>
    </row>
    <row r="183" spans="1:18" x14ac:dyDescent="0.25">
      <c r="A183" s="146">
        <v>8</v>
      </c>
      <c r="B183" s="181">
        <f t="shared" si="45"/>
        <v>45139</v>
      </c>
      <c r="C183" s="201">
        <f t="shared" si="55"/>
        <v>45174</v>
      </c>
      <c r="D183" s="201">
        <f t="shared" si="55"/>
        <v>45194</v>
      </c>
      <c r="E183" s="52" t="s">
        <v>58</v>
      </c>
      <c r="F183" s="146">
        <v>9</v>
      </c>
      <c r="G183" s="183">
        <v>40</v>
      </c>
      <c r="H183" s="184">
        <f t="shared" si="46"/>
        <v>1.371384551924467</v>
      </c>
      <c r="I183" s="184">
        <f t="shared" si="57"/>
        <v>1.2144685218974649</v>
      </c>
      <c r="J183" s="185">
        <f t="shared" si="47"/>
        <v>48.578740875898596</v>
      </c>
      <c r="K183" s="192">
        <f t="shared" si="41"/>
        <v>54.855382076978678</v>
      </c>
      <c r="L183" s="191">
        <f t="shared" si="56"/>
        <v>-6.2766412010800821</v>
      </c>
      <c r="M183" s="188">
        <f t="shared" si="48"/>
        <v>-0.51445185505502378</v>
      </c>
      <c r="N183" s="189">
        <f t="shared" si="49"/>
        <v>-6.7910930561351055</v>
      </c>
      <c r="O183" s="188">
        <v>0</v>
      </c>
      <c r="P183" s="188">
        <v>0</v>
      </c>
      <c r="Q183" s="188">
        <v>0</v>
      </c>
      <c r="R183" s="189">
        <f t="shared" si="50"/>
        <v>-6.7910930561351055</v>
      </c>
    </row>
    <row r="184" spans="1:18" x14ac:dyDescent="0.25">
      <c r="A184" s="146">
        <v>9</v>
      </c>
      <c r="B184" s="181">
        <f t="shared" si="45"/>
        <v>45170</v>
      </c>
      <c r="C184" s="201">
        <f t="shared" si="55"/>
        <v>45203</v>
      </c>
      <c r="D184" s="201">
        <f t="shared" si="55"/>
        <v>45223</v>
      </c>
      <c r="E184" s="52" t="s">
        <v>58</v>
      </c>
      <c r="F184" s="146">
        <v>9</v>
      </c>
      <c r="G184" s="183">
        <v>37</v>
      </c>
      <c r="H184" s="184">
        <f t="shared" si="46"/>
        <v>1.371384551924467</v>
      </c>
      <c r="I184" s="184">
        <f t="shared" si="57"/>
        <v>1.2144685218974649</v>
      </c>
      <c r="J184" s="185">
        <f t="shared" si="47"/>
        <v>44.935335310206199</v>
      </c>
      <c r="K184" s="192">
        <f t="shared" si="41"/>
        <v>50.741228421205278</v>
      </c>
      <c r="L184" s="191">
        <f t="shared" si="56"/>
        <v>-5.8058931109990795</v>
      </c>
      <c r="M184" s="188">
        <f t="shared" si="48"/>
        <v>-0.47586796592589692</v>
      </c>
      <c r="N184" s="189">
        <f t="shared" si="49"/>
        <v>-6.2817610769249761</v>
      </c>
      <c r="O184" s="188">
        <v>0</v>
      </c>
      <c r="P184" s="188">
        <v>0</v>
      </c>
      <c r="Q184" s="188">
        <v>0</v>
      </c>
      <c r="R184" s="189">
        <f t="shared" si="50"/>
        <v>-6.2817610769249761</v>
      </c>
    </row>
    <row r="185" spans="1:18" x14ac:dyDescent="0.25">
      <c r="A185" s="110">
        <v>10</v>
      </c>
      <c r="B185" s="181">
        <f t="shared" si="45"/>
        <v>45200</v>
      </c>
      <c r="C185" s="201">
        <f t="shared" si="55"/>
        <v>45233</v>
      </c>
      <c r="D185" s="201">
        <f t="shared" si="55"/>
        <v>45254</v>
      </c>
      <c r="E185" s="52" t="s">
        <v>58</v>
      </c>
      <c r="F185" s="146">
        <v>9</v>
      </c>
      <c r="G185" s="183">
        <v>30</v>
      </c>
      <c r="H185" s="184">
        <f t="shared" si="46"/>
        <v>1.371384551924467</v>
      </c>
      <c r="I185" s="184">
        <f t="shared" si="57"/>
        <v>1.2144685218974649</v>
      </c>
      <c r="J185" s="185">
        <f t="shared" si="47"/>
        <v>36.434055656923945</v>
      </c>
      <c r="K185" s="192">
        <f t="shared" si="41"/>
        <v>41.141536557734007</v>
      </c>
      <c r="L185" s="191">
        <f t="shared" si="56"/>
        <v>-4.7074809008100615</v>
      </c>
      <c r="M185" s="188">
        <f t="shared" si="48"/>
        <v>-0.3858388912912678</v>
      </c>
      <c r="N185" s="189">
        <f t="shared" si="49"/>
        <v>-5.0933197921013296</v>
      </c>
      <c r="O185" s="188">
        <v>0</v>
      </c>
      <c r="P185" s="188">
        <v>0</v>
      </c>
      <c r="Q185" s="188">
        <v>0</v>
      </c>
      <c r="R185" s="189">
        <f t="shared" si="50"/>
        <v>-5.0933197921013296</v>
      </c>
    </row>
    <row r="186" spans="1:18" x14ac:dyDescent="0.25">
      <c r="A186" s="146">
        <v>11</v>
      </c>
      <c r="B186" s="181">
        <f t="shared" si="45"/>
        <v>45231</v>
      </c>
      <c r="C186" s="201">
        <f t="shared" si="55"/>
        <v>45266</v>
      </c>
      <c r="D186" s="201">
        <f t="shared" si="55"/>
        <v>45285</v>
      </c>
      <c r="E186" s="52" t="s">
        <v>58</v>
      </c>
      <c r="F186" s="146">
        <v>9</v>
      </c>
      <c r="G186" s="183">
        <v>19</v>
      </c>
      <c r="H186" s="184">
        <f t="shared" si="46"/>
        <v>1.371384551924467</v>
      </c>
      <c r="I186" s="184">
        <f t="shared" si="57"/>
        <v>1.2144685218974649</v>
      </c>
      <c r="J186" s="185">
        <f t="shared" si="47"/>
        <v>23.074901916051832</v>
      </c>
      <c r="K186" s="192">
        <f t="shared" si="41"/>
        <v>26.056306486564871</v>
      </c>
      <c r="L186" s="191">
        <f t="shared" si="56"/>
        <v>-2.981404570513039</v>
      </c>
      <c r="M186" s="188">
        <f t="shared" si="48"/>
        <v>-0.2443646311511363</v>
      </c>
      <c r="N186" s="189">
        <f t="shared" si="49"/>
        <v>-3.2257692016641752</v>
      </c>
      <c r="O186" s="188">
        <v>0</v>
      </c>
      <c r="P186" s="188">
        <v>0</v>
      </c>
      <c r="Q186" s="188">
        <v>0</v>
      </c>
      <c r="R186" s="189">
        <f t="shared" si="50"/>
        <v>-3.2257692016641752</v>
      </c>
    </row>
    <row r="187" spans="1:18" s="205" customFormat="1" x14ac:dyDescent="0.25">
      <c r="A187" s="146">
        <v>12</v>
      </c>
      <c r="B187" s="203">
        <f t="shared" si="45"/>
        <v>45261</v>
      </c>
      <c r="C187" s="201">
        <f t="shared" si="55"/>
        <v>45294</v>
      </c>
      <c r="D187" s="201">
        <f t="shared" si="55"/>
        <v>45315</v>
      </c>
      <c r="E187" s="204" t="s">
        <v>58</v>
      </c>
      <c r="F187" s="157">
        <v>9</v>
      </c>
      <c r="G187" s="183">
        <v>20</v>
      </c>
      <c r="H187" s="193">
        <f t="shared" si="46"/>
        <v>1.371384551924467</v>
      </c>
      <c r="I187" s="193">
        <f t="shared" si="57"/>
        <v>1.2144685218974649</v>
      </c>
      <c r="J187" s="194">
        <f t="shared" si="47"/>
        <v>24.289370437949298</v>
      </c>
      <c r="K187" s="195">
        <f t="shared" si="41"/>
        <v>27.427691038489339</v>
      </c>
      <c r="L187" s="196">
        <f t="shared" si="56"/>
        <v>-3.138320600540041</v>
      </c>
      <c r="M187" s="188">
        <f t="shared" si="48"/>
        <v>-0.25722592752751189</v>
      </c>
      <c r="N187" s="189">
        <f t="shared" si="49"/>
        <v>-3.3955465280675527</v>
      </c>
      <c r="O187" s="188">
        <v>0</v>
      </c>
      <c r="P187" s="188">
        <v>0</v>
      </c>
      <c r="Q187" s="188">
        <v>0</v>
      </c>
      <c r="R187" s="189">
        <f t="shared" si="50"/>
        <v>-3.3955465280675527</v>
      </c>
    </row>
    <row r="188" spans="1:18" x14ac:dyDescent="0.25">
      <c r="A188" s="110">
        <v>1</v>
      </c>
      <c r="B188" s="181">
        <f t="shared" si="45"/>
        <v>44927</v>
      </c>
      <c r="C188" s="198">
        <f t="shared" ref="C188:D211" si="58">+C176</f>
        <v>44960</v>
      </c>
      <c r="D188" s="198">
        <f t="shared" si="58"/>
        <v>44981</v>
      </c>
      <c r="E188" s="182" t="s">
        <v>59</v>
      </c>
      <c r="F188" s="110">
        <v>9</v>
      </c>
      <c r="G188" s="183">
        <v>36</v>
      </c>
      <c r="H188" s="184">
        <f t="shared" si="46"/>
        <v>1.371384551924467</v>
      </c>
      <c r="I188" s="184">
        <f t="shared" si="57"/>
        <v>1.2144685218974649</v>
      </c>
      <c r="J188" s="185">
        <f t="shared" si="47"/>
        <v>43.72086678830874</v>
      </c>
      <c r="K188" s="186">
        <f t="shared" si="41"/>
        <v>49.369843869280814</v>
      </c>
      <c r="L188" s="187">
        <f t="shared" si="56"/>
        <v>-5.6489770809720738</v>
      </c>
      <c r="M188" s="188">
        <f t="shared" si="48"/>
        <v>-0.46300666954952135</v>
      </c>
      <c r="N188" s="189">
        <f t="shared" si="49"/>
        <v>-6.1119837505215955</v>
      </c>
      <c r="O188" s="188">
        <v>0</v>
      </c>
      <c r="P188" s="188">
        <v>0</v>
      </c>
      <c r="Q188" s="188">
        <v>0</v>
      </c>
      <c r="R188" s="189">
        <f t="shared" si="50"/>
        <v>-6.1119837505215955</v>
      </c>
    </row>
    <row r="189" spans="1:18" x14ac:dyDescent="0.25">
      <c r="A189" s="146">
        <v>2</v>
      </c>
      <c r="B189" s="181">
        <f t="shared" si="45"/>
        <v>44958</v>
      </c>
      <c r="C189" s="201">
        <f t="shared" si="58"/>
        <v>44988</v>
      </c>
      <c r="D189" s="201">
        <f t="shared" si="58"/>
        <v>45009</v>
      </c>
      <c r="E189" s="190" t="s">
        <v>59</v>
      </c>
      <c r="F189" s="146">
        <v>9</v>
      </c>
      <c r="G189" s="183">
        <v>32</v>
      </c>
      <c r="H189" s="184">
        <f t="shared" si="46"/>
        <v>1.371384551924467</v>
      </c>
      <c r="I189" s="184">
        <f t="shared" si="57"/>
        <v>1.2144685218974649</v>
      </c>
      <c r="J189" s="185">
        <f t="shared" si="47"/>
        <v>38.862992700718877</v>
      </c>
      <c r="K189" s="186">
        <f t="shared" si="41"/>
        <v>43.884305661582943</v>
      </c>
      <c r="L189" s="187">
        <f t="shared" si="56"/>
        <v>-5.0213129608640656</v>
      </c>
      <c r="M189" s="188">
        <f t="shared" si="48"/>
        <v>-0.41156148404401893</v>
      </c>
      <c r="N189" s="189">
        <f t="shared" si="49"/>
        <v>-5.4328744449080846</v>
      </c>
      <c r="O189" s="188">
        <v>0</v>
      </c>
      <c r="P189" s="188">
        <v>0</v>
      </c>
      <c r="Q189" s="188">
        <v>0</v>
      </c>
      <c r="R189" s="189">
        <f t="shared" si="50"/>
        <v>-5.4328744449080846</v>
      </c>
    </row>
    <row r="190" spans="1:18" x14ac:dyDescent="0.25">
      <c r="A190" s="146">
        <v>3</v>
      </c>
      <c r="B190" s="181">
        <f t="shared" si="45"/>
        <v>44986</v>
      </c>
      <c r="C190" s="201">
        <f t="shared" si="58"/>
        <v>45021</v>
      </c>
      <c r="D190" s="201">
        <f t="shared" si="58"/>
        <v>45040</v>
      </c>
      <c r="E190" s="190" t="s">
        <v>59</v>
      </c>
      <c r="F190" s="146">
        <v>9</v>
      </c>
      <c r="G190" s="183">
        <v>32</v>
      </c>
      <c r="H190" s="184">
        <f t="shared" si="46"/>
        <v>1.371384551924467</v>
      </c>
      <c r="I190" s="184">
        <f t="shared" si="57"/>
        <v>1.2144685218974649</v>
      </c>
      <c r="J190" s="185">
        <f t="shared" si="47"/>
        <v>38.862992700718877</v>
      </c>
      <c r="K190" s="186">
        <f t="shared" si="41"/>
        <v>43.884305661582943</v>
      </c>
      <c r="L190" s="187">
        <f>+J190-K190</f>
        <v>-5.0213129608640656</v>
      </c>
      <c r="M190" s="188">
        <f t="shared" si="48"/>
        <v>-0.41156148404401893</v>
      </c>
      <c r="N190" s="189">
        <f t="shared" si="49"/>
        <v>-5.4328744449080846</v>
      </c>
      <c r="O190" s="188">
        <v>0</v>
      </c>
      <c r="P190" s="188">
        <v>0</v>
      </c>
      <c r="Q190" s="188">
        <v>0</v>
      </c>
      <c r="R190" s="189">
        <f t="shared" si="50"/>
        <v>-5.4328744449080846</v>
      </c>
    </row>
    <row r="191" spans="1:18" x14ac:dyDescent="0.25">
      <c r="A191" s="110">
        <v>4</v>
      </c>
      <c r="B191" s="181">
        <f t="shared" si="45"/>
        <v>45017</v>
      </c>
      <c r="C191" s="201">
        <f t="shared" si="58"/>
        <v>45049</v>
      </c>
      <c r="D191" s="201">
        <f t="shared" si="58"/>
        <v>45070</v>
      </c>
      <c r="E191" s="52" t="s">
        <v>59</v>
      </c>
      <c r="F191" s="146">
        <v>9</v>
      </c>
      <c r="G191" s="183">
        <v>31</v>
      </c>
      <c r="H191" s="184">
        <f t="shared" si="46"/>
        <v>1.371384551924467</v>
      </c>
      <c r="I191" s="184">
        <f t="shared" si="57"/>
        <v>1.2144685218974649</v>
      </c>
      <c r="J191" s="185">
        <f t="shared" si="47"/>
        <v>37.648524178821411</v>
      </c>
      <c r="K191" s="186">
        <f t="shared" si="41"/>
        <v>42.512921109658478</v>
      </c>
      <c r="L191" s="187">
        <f t="shared" ref="L191:L201" si="59">+J191-K191</f>
        <v>-4.8643969308370671</v>
      </c>
      <c r="M191" s="188">
        <f t="shared" si="48"/>
        <v>-0.39870018766764337</v>
      </c>
      <c r="N191" s="189">
        <f t="shared" si="49"/>
        <v>-5.2630971185047102</v>
      </c>
      <c r="O191" s="188">
        <v>0</v>
      </c>
      <c r="P191" s="188">
        <v>0</v>
      </c>
      <c r="Q191" s="188">
        <v>0</v>
      </c>
      <c r="R191" s="189">
        <f t="shared" si="50"/>
        <v>-5.2630971185047102</v>
      </c>
    </row>
    <row r="192" spans="1:18" x14ac:dyDescent="0.25">
      <c r="A192" s="146">
        <v>5</v>
      </c>
      <c r="B192" s="181">
        <f t="shared" si="45"/>
        <v>45047</v>
      </c>
      <c r="C192" s="201">
        <f t="shared" si="58"/>
        <v>45082</v>
      </c>
      <c r="D192" s="201">
        <f t="shared" si="58"/>
        <v>45103</v>
      </c>
      <c r="E192" s="52" t="s">
        <v>59</v>
      </c>
      <c r="F192" s="146">
        <v>9</v>
      </c>
      <c r="G192" s="183">
        <v>38</v>
      </c>
      <c r="H192" s="184">
        <f t="shared" si="46"/>
        <v>1.371384551924467</v>
      </c>
      <c r="I192" s="184">
        <f t="shared" si="57"/>
        <v>1.2144685218974649</v>
      </c>
      <c r="J192" s="185">
        <f t="shared" si="47"/>
        <v>46.149803832103665</v>
      </c>
      <c r="K192" s="186">
        <f t="shared" si="41"/>
        <v>52.112612973129742</v>
      </c>
      <c r="L192" s="187">
        <f t="shared" si="59"/>
        <v>-5.962809141026078</v>
      </c>
      <c r="M192" s="188">
        <f t="shared" si="48"/>
        <v>-0.48872926230227259</v>
      </c>
      <c r="N192" s="189">
        <f t="shared" si="49"/>
        <v>-6.4515384033283505</v>
      </c>
      <c r="O192" s="188">
        <v>0</v>
      </c>
      <c r="P192" s="188">
        <v>0</v>
      </c>
      <c r="Q192" s="188">
        <v>0</v>
      </c>
      <c r="R192" s="189">
        <f t="shared" si="50"/>
        <v>-6.4515384033283505</v>
      </c>
    </row>
    <row r="193" spans="1:18" x14ac:dyDescent="0.25">
      <c r="A193" s="146">
        <v>6</v>
      </c>
      <c r="B193" s="181">
        <f t="shared" si="45"/>
        <v>45078</v>
      </c>
      <c r="C193" s="201">
        <f t="shared" si="58"/>
        <v>45112</v>
      </c>
      <c r="D193" s="201">
        <f t="shared" si="58"/>
        <v>45131</v>
      </c>
      <c r="E193" s="52" t="s">
        <v>59</v>
      </c>
      <c r="F193" s="146">
        <v>9</v>
      </c>
      <c r="G193" s="183">
        <v>48</v>
      </c>
      <c r="H193" s="184">
        <f t="shared" si="46"/>
        <v>1.371384551924467</v>
      </c>
      <c r="I193" s="184">
        <f t="shared" si="57"/>
        <v>1.2144685218974649</v>
      </c>
      <c r="J193" s="185">
        <f t="shared" si="47"/>
        <v>58.294489051078315</v>
      </c>
      <c r="K193" s="186">
        <f t="shared" si="41"/>
        <v>65.826458492374414</v>
      </c>
      <c r="L193" s="191">
        <f t="shared" si="59"/>
        <v>-7.5319694412960985</v>
      </c>
      <c r="M193" s="188">
        <f t="shared" si="48"/>
        <v>-0.61734222606602851</v>
      </c>
      <c r="N193" s="189">
        <f t="shared" si="49"/>
        <v>-8.1493116673621273</v>
      </c>
      <c r="O193" s="188">
        <v>0</v>
      </c>
      <c r="P193" s="188">
        <v>0</v>
      </c>
      <c r="Q193" s="188">
        <v>0</v>
      </c>
      <c r="R193" s="189">
        <f t="shared" si="50"/>
        <v>-8.1493116673621273</v>
      </c>
    </row>
    <row r="194" spans="1:18" x14ac:dyDescent="0.25">
      <c r="A194" s="110">
        <v>7</v>
      </c>
      <c r="B194" s="181">
        <f t="shared" si="45"/>
        <v>45108</v>
      </c>
      <c r="C194" s="201">
        <f t="shared" si="58"/>
        <v>45141</v>
      </c>
      <c r="D194" s="201">
        <f t="shared" si="58"/>
        <v>45162</v>
      </c>
      <c r="E194" s="52" t="s">
        <v>59</v>
      </c>
      <c r="F194" s="146">
        <v>9</v>
      </c>
      <c r="G194" s="183">
        <v>49</v>
      </c>
      <c r="H194" s="184">
        <f t="shared" si="46"/>
        <v>1.371384551924467</v>
      </c>
      <c r="I194" s="184">
        <f t="shared" si="57"/>
        <v>1.2144685218974649</v>
      </c>
      <c r="J194" s="185">
        <f t="shared" si="47"/>
        <v>59.508957572975781</v>
      </c>
      <c r="K194" s="192">
        <f t="shared" si="41"/>
        <v>67.197843044298878</v>
      </c>
      <c r="L194" s="191">
        <f t="shared" si="59"/>
        <v>-7.688885471323097</v>
      </c>
      <c r="M194" s="188">
        <f t="shared" si="48"/>
        <v>-0.63020352244240407</v>
      </c>
      <c r="N194" s="189">
        <f t="shared" si="49"/>
        <v>-8.3190889937655008</v>
      </c>
      <c r="O194" s="188">
        <v>0</v>
      </c>
      <c r="P194" s="188">
        <v>0</v>
      </c>
      <c r="Q194" s="188">
        <v>0</v>
      </c>
      <c r="R194" s="189">
        <f t="shared" si="50"/>
        <v>-8.3190889937655008</v>
      </c>
    </row>
    <row r="195" spans="1:18" x14ac:dyDescent="0.25">
      <c r="A195" s="146">
        <v>8</v>
      </c>
      <c r="B195" s="181">
        <f t="shared" si="45"/>
        <v>45139</v>
      </c>
      <c r="C195" s="201">
        <f t="shared" si="58"/>
        <v>45174</v>
      </c>
      <c r="D195" s="201">
        <f t="shared" si="58"/>
        <v>45194</v>
      </c>
      <c r="E195" s="52" t="s">
        <v>59</v>
      </c>
      <c r="F195" s="146">
        <v>9</v>
      </c>
      <c r="G195" s="183">
        <v>50</v>
      </c>
      <c r="H195" s="184">
        <f t="shared" si="46"/>
        <v>1.371384551924467</v>
      </c>
      <c r="I195" s="184">
        <f t="shared" si="57"/>
        <v>1.2144685218974649</v>
      </c>
      <c r="J195" s="185">
        <f t="shared" si="47"/>
        <v>60.723426094873247</v>
      </c>
      <c r="K195" s="192">
        <f t="shared" si="41"/>
        <v>68.569227596223342</v>
      </c>
      <c r="L195" s="191">
        <f t="shared" si="59"/>
        <v>-7.8458015013500955</v>
      </c>
      <c r="M195" s="188">
        <f t="shared" si="48"/>
        <v>-0.64306481881877964</v>
      </c>
      <c r="N195" s="189">
        <f t="shared" si="49"/>
        <v>-8.4888663201688743</v>
      </c>
      <c r="O195" s="188">
        <v>0</v>
      </c>
      <c r="P195" s="188">
        <v>0</v>
      </c>
      <c r="Q195" s="188">
        <v>0</v>
      </c>
      <c r="R195" s="189">
        <f t="shared" si="50"/>
        <v>-8.4888663201688743</v>
      </c>
    </row>
    <row r="196" spans="1:18" x14ac:dyDescent="0.25">
      <c r="A196" s="146">
        <v>9</v>
      </c>
      <c r="B196" s="181">
        <f t="shared" si="45"/>
        <v>45170</v>
      </c>
      <c r="C196" s="201">
        <f t="shared" si="58"/>
        <v>45203</v>
      </c>
      <c r="D196" s="201">
        <f t="shared" si="58"/>
        <v>45223</v>
      </c>
      <c r="E196" s="52" t="s">
        <v>59</v>
      </c>
      <c r="F196" s="146">
        <v>9</v>
      </c>
      <c r="G196" s="183">
        <v>47</v>
      </c>
      <c r="H196" s="184">
        <f t="shared" si="46"/>
        <v>1.371384551924467</v>
      </c>
      <c r="I196" s="184">
        <f t="shared" si="57"/>
        <v>1.2144685218974649</v>
      </c>
      <c r="J196" s="185">
        <f t="shared" si="47"/>
        <v>57.08002052918085</v>
      </c>
      <c r="K196" s="192">
        <f t="shared" si="41"/>
        <v>64.45507394044995</v>
      </c>
      <c r="L196" s="191">
        <f t="shared" si="59"/>
        <v>-7.3750534112691</v>
      </c>
      <c r="M196" s="188">
        <f t="shared" si="48"/>
        <v>-0.60448092968965284</v>
      </c>
      <c r="N196" s="189">
        <f t="shared" si="49"/>
        <v>-7.9795343409587529</v>
      </c>
      <c r="O196" s="188">
        <v>0</v>
      </c>
      <c r="P196" s="188">
        <v>0</v>
      </c>
      <c r="Q196" s="188">
        <v>0</v>
      </c>
      <c r="R196" s="189">
        <f t="shared" si="50"/>
        <v>-7.9795343409587529</v>
      </c>
    </row>
    <row r="197" spans="1:18" x14ac:dyDescent="0.25">
      <c r="A197" s="110">
        <v>10</v>
      </c>
      <c r="B197" s="181">
        <f t="shared" si="45"/>
        <v>45200</v>
      </c>
      <c r="C197" s="201">
        <f t="shared" si="58"/>
        <v>45233</v>
      </c>
      <c r="D197" s="201">
        <f t="shared" si="58"/>
        <v>45254</v>
      </c>
      <c r="E197" s="52" t="s">
        <v>59</v>
      </c>
      <c r="F197" s="146">
        <v>9</v>
      </c>
      <c r="G197" s="183">
        <v>36</v>
      </c>
      <c r="H197" s="184">
        <f t="shared" si="46"/>
        <v>1.371384551924467</v>
      </c>
      <c r="I197" s="184">
        <f t="shared" si="57"/>
        <v>1.2144685218974649</v>
      </c>
      <c r="J197" s="185">
        <f t="shared" si="47"/>
        <v>43.72086678830874</v>
      </c>
      <c r="K197" s="192">
        <f t="shared" si="41"/>
        <v>49.369843869280814</v>
      </c>
      <c r="L197" s="191">
        <f t="shared" si="59"/>
        <v>-5.6489770809720738</v>
      </c>
      <c r="M197" s="188">
        <f t="shared" si="48"/>
        <v>-0.46300666954952135</v>
      </c>
      <c r="N197" s="189">
        <f t="shared" si="49"/>
        <v>-6.1119837505215955</v>
      </c>
      <c r="O197" s="188">
        <v>0</v>
      </c>
      <c r="P197" s="188">
        <v>0</v>
      </c>
      <c r="Q197" s="188">
        <v>0</v>
      </c>
      <c r="R197" s="189">
        <f t="shared" si="50"/>
        <v>-6.1119837505215955</v>
      </c>
    </row>
    <row r="198" spans="1:18" x14ac:dyDescent="0.25">
      <c r="A198" s="146">
        <v>11</v>
      </c>
      <c r="B198" s="181">
        <f t="shared" si="45"/>
        <v>45231</v>
      </c>
      <c r="C198" s="201">
        <f t="shared" si="58"/>
        <v>45266</v>
      </c>
      <c r="D198" s="201">
        <f t="shared" si="58"/>
        <v>45285</v>
      </c>
      <c r="E198" s="52" t="s">
        <v>59</v>
      </c>
      <c r="F198" s="146">
        <v>9</v>
      </c>
      <c r="G198" s="183">
        <v>26</v>
      </c>
      <c r="H198" s="184">
        <f t="shared" si="46"/>
        <v>1.371384551924467</v>
      </c>
      <c r="I198" s="184">
        <f t="shared" si="57"/>
        <v>1.2144685218974649</v>
      </c>
      <c r="J198" s="185">
        <f t="shared" si="47"/>
        <v>31.576181569334089</v>
      </c>
      <c r="K198" s="192">
        <f t="shared" ref="K198:K209" si="60">+$G198*H198</f>
        <v>35.655998350036143</v>
      </c>
      <c r="L198" s="191">
        <f t="shared" si="59"/>
        <v>-4.0798167807020533</v>
      </c>
      <c r="M198" s="188">
        <f t="shared" si="48"/>
        <v>-0.33439370578576538</v>
      </c>
      <c r="N198" s="189">
        <f t="shared" si="49"/>
        <v>-4.4142104864878187</v>
      </c>
      <c r="O198" s="188">
        <v>0</v>
      </c>
      <c r="P198" s="188">
        <v>0</v>
      </c>
      <c r="Q198" s="188">
        <v>0</v>
      </c>
      <c r="R198" s="189">
        <f t="shared" si="50"/>
        <v>-4.4142104864878187</v>
      </c>
    </row>
    <row r="199" spans="1:18" s="205" customFormat="1" x14ac:dyDescent="0.25">
      <c r="A199" s="146">
        <v>12</v>
      </c>
      <c r="B199" s="203">
        <f t="shared" si="45"/>
        <v>45261</v>
      </c>
      <c r="C199" s="201">
        <f t="shared" si="58"/>
        <v>45294</v>
      </c>
      <c r="D199" s="201">
        <f t="shared" si="58"/>
        <v>45315</v>
      </c>
      <c r="E199" s="204" t="s">
        <v>59</v>
      </c>
      <c r="F199" s="157">
        <v>9</v>
      </c>
      <c r="G199" s="183">
        <v>31</v>
      </c>
      <c r="H199" s="193">
        <f t="shared" si="46"/>
        <v>1.371384551924467</v>
      </c>
      <c r="I199" s="193">
        <f t="shared" si="57"/>
        <v>1.2144685218974649</v>
      </c>
      <c r="J199" s="194">
        <f t="shared" si="47"/>
        <v>37.648524178821411</v>
      </c>
      <c r="K199" s="195">
        <f t="shared" si="60"/>
        <v>42.512921109658478</v>
      </c>
      <c r="L199" s="196">
        <f t="shared" si="59"/>
        <v>-4.8643969308370671</v>
      </c>
      <c r="M199" s="188">
        <f t="shared" si="48"/>
        <v>-0.39870018766764337</v>
      </c>
      <c r="N199" s="189">
        <f t="shared" si="49"/>
        <v>-5.2630971185047102</v>
      </c>
      <c r="O199" s="188">
        <v>0</v>
      </c>
      <c r="P199" s="188">
        <v>0</v>
      </c>
      <c r="Q199" s="188">
        <v>0</v>
      </c>
      <c r="R199" s="189">
        <f t="shared" si="50"/>
        <v>-5.2630971185047102</v>
      </c>
    </row>
    <row r="200" spans="1:18" x14ac:dyDescent="0.25">
      <c r="A200" s="110">
        <v>1</v>
      </c>
      <c r="B200" s="181">
        <f t="shared" si="45"/>
        <v>44927</v>
      </c>
      <c r="C200" s="198">
        <f t="shared" si="58"/>
        <v>44960</v>
      </c>
      <c r="D200" s="198">
        <f t="shared" si="58"/>
        <v>44981</v>
      </c>
      <c r="E200" s="182" t="s">
        <v>17</v>
      </c>
      <c r="F200" s="110">
        <v>9</v>
      </c>
      <c r="G200" s="183">
        <v>104</v>
      </c>
      <c r="H200" s="184">
        <f t="shared" si="46"/>
        <v>1.371384551924467</v>
      </c>
      <c r="I200" s="184">
        <f t="shared" si="57"/>
        <v>1.2144685218974649</v>
      </c>
      <c r="J200" s="185">
        <f t="shared" si="47"/>
        <v>126.30472627733636</v>
      </c>
      <c r="K200" s="186">
        <f t="shared" si="60"/>
        <v>142.62399340014457</v>
      </c>
      <c r="L200" s="187">
        <f t="shared" si="59"/>
        <v>-16.319267122808213</v>
      </c>
      <c r="M200" s="188">
        <f t="shared" si="48"/>
        <v>-1.3375748231430615</v>
      </c>
      <c r="N200" s="189">
        <f t="shared" si="49"/>
        <v>-17.656841945951275</v>
      </c>
      <c r="O200" s="188">
        <v>0</v>
      </c>
      <c r="P200" s="188">
        <v>0</v>
      </c>
      <c r="Q200" s="188">
        <v>0</v>
      </c>
      <c r="R200" s="189">
        <f t="shared" si="50"/>
        <v>-17.656841945951275</v>
      </c>
    </row>
    <row r="201" spans="1:18" x14ac:dyDescent="0.25">
      <c r="A201" s="146">
        <v>2</v>
      </c>
      <c r="B201" s="181">
        <f t="shared" si="45"/>
        <v>44958</v>
      </c>
      <c r="C201" s="201">
        <f t="shared" si="58"/>
        <v>44988</v>
      </c>
      <c r="D201" s="201">
        <f t="shared" si="58"/>
        <v>45009</v>
      </c>
      <c r="E201" s="190" t="s">
        <v>17</v>
      </c>
      <c r="F201" s="146">
        <v>9</v>
      </c>
      <c r="G201" s="183">
        <v>107</v>
      </c>
      <c r="H201" s="184">
        <f t="shared" si="46"/>
        <v>1.371384551924467</v>
      </c>
      <c r="I201" s="184">
        <f t="shared" si="57"/>
        <v>1.2144685218974649</v>
      </c>
      <c r="J201" s="185">
        <f t="shared" si="47"/>
        <v>129.94813184302873</v>
      </c>
      <c r="K201" s="186">
        <f t="shared" si="60"/>
        <v>146.73814705591798</v>
      </c>
      <c r="L201" s="187">
        <f t="shared" si="59"/>
        <v>-16.790015212889244</v>
      </c>
      <c r="M201" s="188">
        <f t="shared" si="48"/>
        <v>-1.3761587122721886</v>
      </c>
      <c r="N201" s="189">
        <f t="shared" si="49"/>
        <v>-18.166173925161434</v>
      </c>
      <c r="O201" s="188">
        <v>0</v>
      </c>
      <c r="P201" s="188">
        <v>0</v>
      </c>
      <c r="Q201" s="188">
        <v>0</v>
      </c>
      <c r="R201" s="189">
        <f t="shared" si="50"/>
        <v>-18.166173925161434</v>
      </c>
    </row>
    <row r="202" spans="1:18" x14ac:dyDescent="0.25">
      <c r="A202" s="146">
        <v>3</v>
      </c>
      <c r="B202" s="181">
        <f t="shared" si="45"/>
        <v>44986</v>
      </c>
      <c r="C202" s="201">
        <f t="shared" si="58"/>
        <v>45021</v>
      </c>
      <c r="D202" s="201">
        <f t="shared" si="58"/>
        <v>45040</v>
      </c>
      <c r="E202" s="190" t="s">
        <v>17</v>
      </c>
      <c r="F202" s="146">
        <v>9</v>
      </c>
      <c r="G202" s="183">
        <v>103</v>
      </c>
      <c r="H202" s="184">
        <f t="shared" si="46"/>
        <v>1.371384551924467</v>
      </c>
      <c r="I202" s="184">
        <f t="shared" si="57"/>
        <v>1.2144685218974649</v>
      </c>
      <c r="J202" s="185">
        <f t="shared" si="47"/>
        <v>125.09025775543888</v>
      </c>
      <c r="K202" s="186">
        <f t="shared" si="60"/>
        <v>141.25260884822009</v>
      </c>
      <c r="L202" s="187">
        <f>+J202-K202</f>
        <v>-16.162351092781208</v>
      </c>
      <c r="M202" s="188">
        <f t="shared" si="48"/>
        <v>-1.3247135267666861</v>
      </c>
      <c r="N202" s="189">
        <f t="shared" si="49"/>
        <v>-17.487064619547894</v>
      </c>
      <c r="O202" s="188">
        <v>0</v>
      </c>
      <c r="P202" s="188">
        <v>0</v>
      </c>
      <c r="Q202" s="188">
        <v>0</v>
      </c>
      <c r="R202" s="189">
        <f t="shared" si="50"/>
        <v>-17.487064619547894</v>
      </c>
    </row>
    <row r="203" spans="1:18" x14ac:dyDescent="0.25">
      <c r="A203" s="110">
        <v>4</v>
      </c>
      <c r="B203" s="181">
        <f t="shared" si="45"/>
        <v>45017</v>
      </c>
      <c r="C203" s="201">
        <f t="shared" si="58"/>
        <v>45049</v>
      </c>
      <c r="D203" s="201">
        <f t="shared" si="58"/>
        <v>45070</v>
      </c>
      <c r="E203" s="190" t="s">
        <v>17</v>
      </c>
      <c r="F203" s="146">
        <v>9</v>
      </c>
      <c r="G203" s="183">
        <v>98</v>
      </c>
      <c r="H203" s="184">
        <f t="shared" si="46"/>
        <v>1.371384551924467</v>
      </c>
      <c r="I203" s="184">
        <f t="shared" si="57"/>
        <v>1.2144685218974649</v>
      </c>
      <c r="J203" s="185">
        <f t="shared" si="47"/>
        <v>119.01791514595156</v>
      </c>
      <c r="K203" s="186">
        <f t="shared" si="60"/>
        <v>134.39568608859776</v>
      </c>
      <c r="L203" s="187">
        <f t="shared" ref="L203:L211" si="61">+J203-K203</f>
        <v>-15.377770942646194</v>
      </c>
      <c r="M203" s="188">
        <f t="shared" si="48"/>
        <v>-1.2604070448848081</v>
      </c>
      <c r="N203" s="189">
        <f t="shared" si="49"/>
        <v>-16.638177987531002</v>
      </c>
      <c r="O203" s="188">
        <v>0</v>
      </c>
      <c r="P203" s="188">
        <v>0</v>
      </c>
      <c r="Q203" s="188">
        <v>0</v>
      </c>
      <c r="R203" s="189">
        <f t="shared" si="50"/>
        <v>-16.638177987531002</v>
      </c>
    </row>
    <row r="204" spans="1:18" x14ac:dyDescent="0.25">
      <c r="A204" s="146">
        <v>5</v>
      </c>
      <c r="B204" s="181">
        <f t="shared" si="45"/>
        <v>45047</v>
      </c>
      <c r="C204" s="201">
        <f t="shared" si="58"/>
        <v>45082</v>
      </c>
      <c r="D204" s="201">
        <f t="shared" si="58"/>
        <v>45103</v>
      </c>
      <c r="E204" s="52" t="s">
        <v>17</v>
      </c>
      <c r="F204" s="146">
        <v>9</v>
      </c>
      <c r="G204" s="183">
        <v>105</v>
      </c>
      <c r="H204" s="184">
        <f t="shared" si="46"/>
        <v>1.371384551924467</v>
      </c>
      <c r="I204" s="184">
        <f t="shared" si="57"/>
        <v>1.2144685218974649</v>
      </c>
      <c r="J204" s="185">
        <f t="shared" si="47"/>
        <v>127.51919479923382</v>
      </c>
      <c r="K204" s="186">
        <f t="shared" si="60"/>
        <v>143.99537795206902</v>
      </c>
      <c r="L204" s="187">
        <f t="shared" si="61"/>
        <v>-16.476183152835205</v>
      </c>
      <c r="M204" s="188">
        <f t="shared" si="48"/>
        <v>-1.3504361195194372</v>
      </c>
      <c r="N204" s="189">
        <f t="shared" si="49"/>
        <v>-17.826619272354641</v>
      </c>
      <c r="O204" s="188">
        <v>0</v>
      </c>
      <c r="P204" s="188">
        <v>0</v>
      </c>
      <c r="Q204" s="188">
        <v>0</v>
      </c>
      <c r="R204" s="189">
        <f t="shared" si="50"/>
        <v>-17.826619272354641</v>
      </c>
    </row>
    <row r="205" spans="1:18" x14ac:dyDescent="0.25">
      <c r="A205" s="146">
        <v>6</v>
      </c>
      <c r="B205" s="181">
        <f t="shared" si="45"/>
        <v>45078</v>
      </c>
      <c r="C205" s="201">
        <f t="shared" si="58"/>
        <v>45112</v>
      </c>
      <c r="D205" s="201">
        <f t="shared" si="58"/>
        <v>45131</v>
      </c>
      <c r="E205" s="52" t="s">
        <v>17</v>
      </c>
      <c r="F205" s="146">
        <v>9</v>
      </c>
      <c r="G205" s="183">
        <v>115</v>
      </c>
      <c r="H205" s="184">
        <f t="shared" si="46"/>
        <v>1.371384551924467</v>
      </c>
      <c r="I205" s="184">
        <f t="shared" si="57"/>
        <v>1.2144685218974649</v>
      </c>
      <c r="J205" s="185">
        <f t="shared" si="47"/>
        <v>139.66388001820846</v>
      </c>
      <c r="K205" s="186">
        <f t="shared" si="60"/>
        <v>157.70922347131369</v>
      </c>
      <c r="L205" s="191">
        <f t="shared" si="61"/>
        <v>-18.045343453105232</v>
      </c>
      <c r="M205" s="188">
        <f t="shared" si="48"/>
        <v>-1.4790490832831931</v>
      </c>
      <c r="N205" s="189">
        <f t="shared" si="49"/>
        <v>-19.524392536388426</v>
      </c>
      <c r="O205" s="188">
        <v>0</v>
      </c>
      <c r="P205" s="188">
        <v>0</v>
      </c>
      <c r="Q205" s="188">
        <v>0</v>
      </c>
      <c r="R205" s="189">
        <f t="shared" si="50"/>
        <v>-19.524392536388426</v>
      </c>
    </row>
    <row r="206" spans="1:18" x14ac:dyDescent="0.25">
      <c r="A206" s="110">
        <v>7</v>
      </c>
      <c r="B206" s="181">
        <f t="shared" si="45"/>
        <v>45108</v>
      </c>
      <c r="C206" s="201">
        <f t="shared" si="58"/>
        <v>45141</v>
      </c>
      <c r="D206" s="201">
        <f t="shared" si="58"/>
        <v>45162</v>
      </c>
      <c r="E206" s="52" t="s">
        <v>17</v>
      </c>
      <c r="F206" s="146">
        <v>9</v>
      </c>
      <c r="G206" s="183">
        <v>110</v>
      </c>
      <c r="H206" s="184">
        <f t="shared" si="46"/>
        <v>1.371384551924467</v>
      </c>
      <c r="I206" s="184">
        <f t="shared" si="57"/>
        <v>1.2144685218974649</v>
      </c>
      <c r="J206" s="185">
        <f t="shared" si="47"/>
        <v>133.59153740872114</v>
      </c>
      <c r="K206" s="192">
        <f t="shared" si="60"/>
        <v>150.85230071169136</v>
      </c>
      <c r="L206" s="191">
        <f t="shared" si="61"/>
        <v>-17.260763302970219</v>
      </c>
      <c r="M206" s="188">
        <f t="shared" si="48"/>
        <v>-1.4147426014013154</v>
      </c>
      <c r="N206" s="189">
        <f t="shared" si="49"/>
        <v>-18.675505904371533</v>
      </c>
      <c r="O206" s="188">
        <v>0</v>
      </c>
      <c r="P206" s="188">
        <v>0</v>
      </c>
      <c r="Q206" s="188">
        <v>0</v>
      </c>
      <c r="R206" s="189">
        <f t="shared" si="50"/>
        <v>-18.675505904371533</v>
      </c>
    </row>
    <row r="207" spans="1:18" x14ac:dyDescent="0.25">
      <c r="A207" s="146">
        <v>8</v>
      </c>
      <c r="B207" s="181">
        <f t="shared" si="45"/>
        <v>45139</v>
      </c>
      <c r="C207" s="201">
        <f t="shared" si="58"/>
        <v>45174</v>
      </c>
      <c r="D207" s="201">
        <f t="shared" si="58"/>
        <v>45194</v>
      </c>
      <c r="E207" s="52" t="s">
        <v>17</v>
      </c>
      <c r="F207" s="146">
        <v>9</v>
      </c>
      <c r="G207" s="183">
        <v>109</v>
      </c>
      <c r="H207" s="184">
        <f t="shared" si="46"/>
        <v>1.371384551924467</v>
      </c>
      <c r="I207" s="184">
        <f t="shared" si="57"/>
        <v>1.2144685218974649</v>
      </c>
      <c r="J207" s="185">
        <f t="shared" si="47"/>
        <v>132.37706888682368</v>
      </c>
      <c r="K207" s="192">
        <f t="shared" si="60"/>
        <v>149.48091615976691</v>
      </c>
      <c r="L207" s="191">
        <f t="shared" si="61"/>
        <v>-17.103847272943227</v>
      </c>
      <c r="M207" s="188">
        <f t="shared" si="48"/>
        <v>-1.4018813050249397</v>
      </c>
      <c r="N207" s="189">
        <f t="shared" si="49"/>
        <v>-18.505728577968167</v>
      </c>
      <c r="O207" s="188">
        <v>0</v>
      </c>
      <c r="P207" s="188">
        <v>0</v>
      </c>
      <c r="Q207" s="188">
        <v>0</v>
      </c>
      <c r="R207" s="189">
        <f t="shared" si="50"/>
        <v>-18.505728577968167</v>
      </c>
    </row>
    <row r="208" spans="1:18" x14ac:dyDescent="0.25">
      <c r="A208" s="146">
        <v>9</v>
      </c>
      <c r="B208" s="181">
        <f t="shared" si="45"/>
        <v>45170</v>
      </c>
      <c r="C208" s="201">
        <f t="shared" si="58"/>
        <v>45203</v>
      </c>
      <c r="D208" s="201">
        <f t="shared" si="58"/>
        <v>45223</v>
      </c>
      <c r="E208" s="52" t="s">
        <v>17</v>
      </c>
      <c r="F208" s="146">
        <v>9</v>
      </c>
      <c r="G208" s="183">
        <v>112</v>
      </c>
      <c r="H208" s="184">
        <f t="shared" si="46"/>
        <v>1.371384551924467</v>
      </c>
      <c r="I208" s="184">
        <f t="shared" si="57"/>
        <v>1.2144685218974649</v>
      </c>
      <c r="J208" s="185">
        <f t="shared" si="47"/>
        <v>136.02047445251605</v>
      </c>
      <c r="K208" s="192">
        <f t="shared" si="60"/>
        <v>153.59506981554028</v>
      </c>
      <c r="L208" s="191">
        <f t="shared" si="61"/>
        <v>-17.57459536302423</v>
      </c>
      <c r="M208" s="188">
        <f t="shared" si="48"/>
        <v>-1.4404651941540665</v>
      </c>
      <c r="N208" s="189">
        <f t="shared" si="49"/>
        <v>-19.015060557178295</v>
      </c>
      <c r="O208" s="188">
        <v>0</v>
      </c>
      <c r="P208" s="188">
        <v>0</v>
      </c>
      <c r="Q208" s="188">
        <v>0</v>
      </c>
      <c r="R208" s="189">
        <f t="shared" si="50"/>
        <v>-19.015060557178295</v>
      </c>
    </row>
    <row r="209" spans="1:18" x14ac:dyDescent="0.25">
      <c r="A209" s="110">
        <v>10</v>
      </c>
      <c r="B209" s="181">
        <f t="shared" si="45"/>
        <v>45200</v>
      </c>
      <c r="C209" s="201">
        <f t="shared" si="58"/>
        <v>45233</v>
      </c>
      <c r="D209" s="201">
        <f t="shared" si="58"/>
        <v>45254</v>
      </c>
      <c r="E209" s="52" t="s">
        <v>17</v>
      </c>
      <c r="F209" s="146">
        <v>9</v>
      </c>
      <c r="G209" s="183">
        <v>107</v>
      </c>
      <c r="H209" s="184">
        <f t="shared" si="46"/>
        <v>1.371384551924467</v>
      </c>
      <c r="I209" s="184">
        <f t="shared" si="57"/>
        <v>1.2144685218974649</v>
      </c>
      <c r="J209" s="185">
        <f t="shared" si="47"/>
        <v>129.94813184302873</v>
      </c>
      <c r="K209" s="192">
        <f t="shared" si="60"/>
        <v>146.73814705591798</v>
      </c>
      <c r="L209" s="191">
        <f t="shared" si="61"/>
        <v>-16.790015212889244</v>
      </c>
      <c r="M209" s="188">
        <f t="shared" si="48"/>
        <v>-1.3761587122721886</v>
      </c>
      <c r="N209" s="189">
        <f t="shared" si="49"/>
        <v>-18.166173925161434</v>
      </c>
      <c r="O209" s="188">
        <v>0</v>
      </c>
      <c r="P209" s="188">
        <v>0</v>
      </c>
      <c r="Q209" s="188">
        <v>0</v>
      </c>
      <c r="R209" s="189">
        <f t="shared" si="50"/>
        <v>-18.166173925161434</v>
      </c>
    </row>
    <row r="210" spans="1:18" x14ac:dyDescent="0.25">
      <c r="A210" s="146">
        <v>11</v>
      </c>
      <c r="B210" s="181">
        <f t="shared" si="45"/>
        <v>45231</v>
      </c>
      <c r="C210" s="201">
        <f t="shared" si="58"/>
        <v>45266</v>
      </c>
      <c r="D210" s="201">
        <f t="shared" si="58"/>
        <v>45285</v>
      </c>
      <c r="E210" s="52" t="s">
        <v>17</v>
      </c>
      <c r="F210" s="146">
        <v>9</v>
      </c>
      <c r="G210" s="183">
        <v>104</v>
      </c>
      <c r="H210" s="184">
        <f t="shared" si="46"/>
        <v>1.371384551924467</v>
      </c>
      <c r="I210" s="184">
        <f t="shared" si="57"/>
        <v>1.2144685218974649</v>
      </c>
      <c r="J210" s="185">
        <f t="shared" si="47"/>
        <v>126.30472627733636</v>
      </c>
      <c r="K210" s="192">
        <f>+$G210*H210</f>
        <v>142.62399340014457</v>
      </c>
      <c r="L210" s="191">
        <f t="shared" si="61"/>
        <v>-16.319267122808213</v>
      </c>
      <c r="M210" s="188">
        <f t="shared" si="48"/>
        <v>-1.3375748231430615</v>
      </c>
      <c r="N210" s="189">
        <f t="shared" si="49"/>
        <v>-17.656841945951275</v>
      </c>
      <c r="O210" s="188">
        <v>0</v>
      </c>
      <c r="P210" s="188">
        <v>0</v>
      </c>
      <c r="Q210" s="188">
        <v>0</v>
      </c>
      <c r="R210" s="189">
        <f t="shared" si="50"/>
        <v>-17.656841945951275</v>
      </c>
    </row>
    <row r="211" spans="1:18" s="205" customFormat="1" x14ac:dyDescent="0.25">
      <c r="A211" s="146">
        <v>12</v>
      </c>
      <c r="B211" s="203">
        <f t="shared" si="45"/>
        <v>45261</v>
      </c>
      <c r="C211" s="206">
        <f t="shared" si="58"/>
        <v>45294</v>
      </c>
      <c r="D211" s="206">
        <f t="shared" si="58"/>
        <v>45315</v>
      </c>
      <c r="E211" s="204" t="s">
        <v>17</v>
      </c>
      <c r="F211" s="157">
        <v>9</v>
      </c>
      <c r="G211" s="183">
        <v>101</v>
      </c>
      <c r="H211" s="193">
        <f t="shared" si="46"/>
        <v>1.371384551924467</v>
      </c>
      <c r="I211" s="193">
        <f t="shared" si="57"/>
        <v>1.2144685218974649</v>
      </c>
      <c r="J211" s="194">
        <f t="shared" si="47"/>
        <v>122.66132071164395</v>
      </c>
      <c r="K211" s="195">
        <f>+$G211*H211</f>
        <v>138.50983974437116</v>
      </c>
      <c r="L211" s="196">
        <f t="shared" si="61"/>
        <v>-15.848519032727211</v>
      </c>
      <c r="M211" s="194">
        <f t="shared" si="48"/>
        <v>-1.298990934013935</v>
      </c>
      <c r="N211" s="189">
        <f t="shared" si="49"/>
        <v>-17.147509966741147</v>
      </c>
      <c r="O211" s="188">
        <v>0</v>
      </c>
      <c r="P211" s="188">
        <v>0</v>
      </c>
      <c r="Q211" s="188">
        <v>0</v>
      </c>
      <c r="R211" s="189">
        <f t="shared" si="50"/>
        <v>-17.147509966741147</v>
      </c>
    </row>
    <row r="212" spans="1:18" x14ac:dyDescent="0.25">
      <c r="G212" s="211">
        <f>SUM(G20:G211)</f>
        <v>102178</v>
      </c>
      <c r="H212" s="49"/>
      <c r="I212" s="49"/>
      <c r="J212" s="49">
        <f>SUM(J20:J211)</f>
        <v>124091.96463043928</v>
      </c>
      <c r="K212" s="49">
        <f>SUM(K20:K211)</f>
        <v>140125.33074653801</v>
      </c>
      <c r="L212" s="49">
        <f>SUM(L20:L211)</f>
        <v>-16033.36611609902</v>
      </c>
      <c r="M212" s="49">
        <f>SUM(M20:M211)</f>
        <v>-1314.1415411453058</v>
      </c>
      <c r="N212" s="49"/>
      <c r="O212" s="49"/>
      <c r="P212" s="49">
        <f>SUM(P20:P211)</f>
        <v>0</v>
      </c>
      <c r="Q212" s="49"/>
      <c r="R212" s="212">
        <f>SUM(R20:R211)</f>
        <v>-17347.507657244321</v>
      </c>
    </row>
    <row r="213" spans="1:18" x14ac:dyDescent="0.25">
      <c r="P213" s="49"/>
      <c r="Q213" s="49"/>
    </row>
    <row r="220" spans="1:18" x14ac:dyDescent="0.25">
      <c r="D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</sheetData>
  <mergeCells count="4">
    <mergeCell ref="G2:H2"/>
    <mergeCell ref="G3:H3"/>
    <mergeCell ref="G7:H7"/>
    <mergeCell ref="G8:H8"/>
  </mergeCells>
  <phoneticPr fontId="0" type="noConversion"/>
  <pageMargins left="0.5" right="0.5" top="1.05" bottom="1" header="0.31" footer="0.5"/>
  <pageSetup scale="77" fitToWidth="2" fitToHeight="0" orientation="landscape" cellComments="asDisplayed" r:id="rId1"/>
  <headerFooter alignWithMargins="0">
    <oddHeader>&amp;R&amp;F  &amp;A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YXV0b1NlbGVjdGVkU3VnZ2VzdGlvbiI+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Tc3MDQwPC9Vc2VyTmFtZT48RGF0ZVRpbWU+NC80LzIwMjIgMzoxNTozNCBQTTwvRGF0ZVRpbWU+PExhYmVsU3RyaW5nPkFFUCBJbnRlcm5hbDwvTGFiZWxTdHJpbmc+PC9pdGVtPjxpdGVtPjxzaXNsIHNpc2xWZXJzaW9uPSIwIiBwb2xpY3k9ImU5YzBiOGQ3LWJkYjQtNGZkMy1iNjJhLWY1MDMyN2FhZWZjZSIgb3JpZ2luPSJ1c2VyU2VsZWN0ZWQiPjxlbGVtZW50IHVpZD0iNTBjMzE4MjQtMDc4MC00OTEwLTg3ZDEtZWFhZmZkMTgyZDQyIiB2YWx1ZT0iIiB4bWxucz0iaHR0cDovL3d3dy5ib2xkb25qYW1lcy5jb20vMjAwOC8wMS9zaWUvaW50ZXJuYWwvbGFiZWwiIC8+PC9zaXNsPjxVc2VyTmFtZT5DT1JQXHMxNzcwNDA8L1VzZXJOYW1lPjxEYXRlVGltZT41LzIzLzIwMjIgNTozODo0NyBQTTwvRGF0ZVRpbWU+PExhYmVsU3RyaW5nPkFFUCBJbnRlcm5hbD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5ED846E2-06DE-4720-B6D8-DD6060DFDE06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57DB987E-E031-428C-BB60-F952BCA4823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Instructions</vt:lpstr>
      <vt:lpstr>2021 NOLC Refund Detail</vt:lpstr>
      <vt:lpstr>Summary</vt:lpstr>
      <vt:lpstr>Pivot</vt:lpstr>
      <vt:lpstr>Transactions</vt:lpstr>
      <vt:lpstr>Transactions!AS1_1999</vt:lpstr>
      <vt:lpstr>Instructions!Print_Area</vt:lpstr>
      <vt:lpstr>Summary!Print_Area</vt:lpstr>
      <vt:lpstr>Transactions!Print_Area</vt:lpstr>
      <vt:lpstr>Pivot!Print_Titles</vt:lpstr>
      <vt:lpstr>Transactions!Print_Titles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Williamson</dc:creator>
  <cp:keywords/>
  <cp:lastModifiedBy>Allyson L Keaton</cp:lastModifiedBy>
  <cp:lastPrinted>2023-05-25T11:52:40Z</cp:lastPrinted>
  <dcterms:created xsi:type="dcterms:W3CDTF">2009-09-04T18:19:13Z</dcterms:created>
  <dcterms:modified xsi:type="dcterms:W3CDTF">2024-05-24T13:54:55Z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f06838f1-b3e6-44ec-9132-89d348037b5f</vt:lpwstr>
  </property>
  <property fmtid="{D5CDD505-2E9C-101B-9397-08002B2CF9AE}" pid="3" name="bjSaver">
    <vt:lpwstr>clRxCTTKA7z930TtRLwKph96GxWYXtbn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bjClsUserRVM">
    <vt:lpwstr>[]</vt:lpwstr>
  </property>
  <property fmtid="{D5CDD505-2E9C-101B-9397-08002B2CF9AE}" pid="7" name="MSIP_Label_69f43042-6bda-44b2-91eb-eca3d3d484f4_SiteId">
    <vt:lpwstr>15f3c881-6b03-4ff6-8559-77bf5177818f</vt:lpwstr>
  </property>
  <property fmtid="{D5CDD505-2E9C-101B-9397-08002B2CF9AE}" pid="8" name="MSIP_Label_69f43042-6bda-44b2-91eb-eca3d3d484f4_Name">
    <vt:lpwstr>AEP Internal</vt:lpwstr>
  </property>
  <property fmtid="{D5CDD505-2E9C-101B-9397-08002B2CF9AE}" pid="9" name="MSIP_Label_69f43042-6bda-44b2-91eb-eca3d3d484f4_Enabled">
    <vt:lpwstr>true</vt:lpwstr>
  </property>
  <property fmtid="{D5CDD505-2E9C-101B-9397-08002B2CF9AE}" pid="10" name="bjLabelHistoryID">
    <vt:lpwstr>{5ED846E2-06DE-4720-B6D8-DD6060DFDE06}</vt:lpwstr>
  </property>
  <property fmtid="{D5CDD505-2E9C-101B-9397-08002B2CF9AE}" pid="11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2" name="bjDocumentLabelXML-0">
    <vt:lpwstr>ames.com/2008/01/sie/internal/label"&gt;&lt;element uid="50c31824-0780-4910-87d1-eaaffd182d42" value="" /&gt;&lt;/sisl&gt;</vt:lpwstr>
  </property>
</Properties>
</file>